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filterPrivacy="1" defaultThemeVersion="124226"/>
  <xr:revisionPtr revIDLastSave="10" documentId="8_{6144748A-9906-43F1-A5FF-2BD4C50FF5C8}" xr6:coauthVersionLast="45" xr6:coauthVersionMax="45" xr10:uidLastSave="{28FA404A-1B74-407A-B452-4F153149F409}"/>
  <bookViews>
    <workbookView xWindow="-120" yWindow="-120" windowWidth="25440" windowHeight="15390" activeTab="2" xr2:uid="{00000000-000D-0000-FFFF-FFFF00000000}"/>
  </bookViews>
  <sheets>
    <sheet name="Ingredients" sheetId="16" r:id="rId1"/>
    <sheet name="Recipes" sheetId="2" r:id="rId2"/>
    <sheet name="Meals" sheetId="17" r:id="rId3"/>
    <sheet name="Meal_Itinerary" sheetId="3" r:id="rId4"/>
    <sheet name="Price Comparison" sheetId="13" state="hidden" r:id="rId5"/>
    <sheet name="JMT Shopping List Conversion" sheetId="5" state="hidden" r:id="rId6"/>
    <sheet name="JMT Shopping List 2015-06-15" sheetId="6" state="hidden" r:id="rId7"/>
    <sheet name="JMT Shopping List 2015-06-15.2" sheetId="7" state="hidden" r:id="rId8"/>
    <sheet name="Mailing Estimates" sheetId="18" r:id="rId9"/>
  </sheets>
  <definedNames>
    <definedName name="_xlnm._FilterDatabase" localSheetId="0" hidden="1">Ingredients!$A$1:$P$77</definedName>
    <definedName name="_xlnm._FilterDatabase" localSheetId="6" hidden="1">'JMT Shopping List 2015-06-15'!$A$1:$D$48</definedName>
    <definedName name="_xlnm._FilterDatabase" localSheetId="7" hidden="1">'JMT Shopping List 2015-06-15.2'!$A$1:$D$48</definedName>
    <definedName name="_xlnm._FilterDatabase" localSheetId="5" hidden="1">'JMT Shopping List Conversion'!$A$1:$D$48</definedName>
    <definedName name="_xlnm._FilterDatabase" localSheetId="1" hidden="1">Recipes!$A$1:$J$8</definedName>
    <definedName name="_xlnm.Print_Area" localSheetId="6">'JMT Shopping List 2015-06-15'!$A$1:$L$52</definedName>
    <definedName name="_xlnm.Print_Area" localSheetId="7">'JMT Shopping List 2015-06-15.2'!$A$1:$L$52</definedName>
    <definedName name="_xlnm.Print_Area" localSheetId="5">'JMT Shopping List Conversion'!$A$1:$J$52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3" l="1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P3" i="17"/>
  <c r="P31" i="17"/>
  <c r="P59" i="17"/>
  <c r="P87" i="17"/>
  <c r="P115" i="17"/>
  <c r="R2" i="17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H3" i="17"/>
  <c r="H15" i="17" s="1"/>
  <c r="H31" i="17"/>
  <c r="H45" i="17" s="1"/>
  <c r="H59" i="17"/>
  <c r="H72" i="17" s="1"/>
  <c r="H44" i="17"/>
  <c r="P5" i="17"/>
  <c r="P33" i="17"/>
  <c r="P61" i="17"/>
  <c r="P89" i="17"/>
  <c r="P4" i="17"/>
  <c r="P6" i="17"/>
  <c r="P7" i="17"/>
  <c r="P8" i="17"/>
  <c r="P9" i="17"/>
  <c r="P10" i="17"/>
  <c r="P11" i="17"/>
  <c r="P12" i="17"/>
  <c r="P13" i="17"/>
  <c r="P14" i="17"/>
  <c r="P15" i="17"/>
  <c r="P16" i="17"/>
  <c r="P17" i="17"/>
  <c r="P18" i="17"/>
  <c r="P19" i="17"/>
  <c r="P20" i="17"/>
  <c r="P21" i="17"/>
  <c r="P22" i="17"/>
  <c r="P23" i="17"/>
  <c r="P24" i="17"/>
  <c r="P25" i="17"/>
  <c r="P26" i="17"/>
  <c r="P27" i="17"/>
  <c r="P28" i="17"/>
  <c r="P29" i="17"/>
  <c r="P30" i="17"/>
  <c r="P32" i="17"/>
  <c r="P34" i="17"/>
  <c r="P35" i="17"/>
  <c r="P36" i="17"/>
  <c r="P37" i="17"/>
  <c r="P38" i="17"/>
  <c r="P39" i="17"/>
  <c r="P40" i="17"/>
  <c r="P41" i="17"/>
  <c r="P42" i="17"/>
  <c r="P43" i="17"/>
  <c r="P44" i="17"/>
  <c r="P45" i="17"/>
  <c r="P46" i="17"/>
  <c r="P47" i="17"/>
  <c r="P48" i="17"/>
  <c r="P49" i="17"/>
  <c r="P50" i="17"/>
  <c r="P51" i="17"/>
  <c r="P52" i="17"/>
  <c r="P53" i="17"/>
  <c r="P54" i="17"/>
  <c r="P55" i="17"/>
  <c r="P56" i="17"/>
  <c r="P57" i="17"/>
  <c r="P58" i="17"/>
  <c r="P60" i="17"/>
  <c r="P62" i="17"/>
  <c r="P63" i="17"/>
  <c r="P64" i="17"/>
  <c r="P65" i="17"/>
  <c r="P66" i="17"/>
  <c r="P67" i="17"/>
  <c r="P68" i="17"/>
  <c r="P69" i="17"/>
  <c r="P70" i="17"/>
  <c r="P71" i="17"/>
  <c r="P72" i="17"/>
  <c r="P73" i="17"/>
  <c r="P74" i="17"/>
  <c r="P75" i="17"/>
  <c r="P76" i="17"/>
  <c r="P77" i="17"/>
  <c r="P78" i="17"/>
  <c r="P79" i="17"/>
  <c r="P80" i="17"/>
  <c r="P81" i="17"/>
  <c r="P82" i="17"/>
  <c r="P83" i="17"/>
  <c r="P84" i="17"/>
  <c r="P85" i="17"/>
  <c r="P86" i="17"/>
  <c r="P88" i="17"/>
  <c r="P90" i="17"/>
  <c r="P91" i="17"/>
  <c r="P92" i="17"/>
  <c r="P93" i="17"/>
  <c r="P94" i="17"/>
  <c r="P95" i="17"/>
  <c r="P96" i="17"/>
  <c r="P97" i="17"/>
  <c r="P98" i="17"/>
  <c r="P99" i="17"/>
  <c r="P100" i="17"/>
  <c r="P101" i="17"/>
  <c r="P102" i="17"/>
  <c r="P103" i="17"/>
  <c r="P104" i="17"/>
  <c r="P105" i="17"/>
  <c r="P106" i="17"/>
  <c r="P107" i="17"/>
  <c r="P108" i="17"/>
  <c r="P109" i="17"/>
  <c r="P110" i="17"/>
  <c r="P111" i="17"/>
  <c r="P112" i="17"/>
  <c r="P113" i="17"/>
  <c r="P114" i="17"/>
  <c r="P116" i="17"/>
  <c r="P117" i="17"/>
  <c r="P118" i="17"/>
  <c r="P119" i="17"/>
  <c r="P120" i="17"/>
  <c r="P121" i="17"/>
  <c r="P122" i="17"/>
  <c r="P123" i="17"/>
  <c r="P124" i="17"/>
  <c r="P125" i="17"/>
  <c r="P126" i="17"/>
  <c r="P127" i="17"/>
  <c r="P128" i="17"/>
  <c r="P129" i="17"/>
  <c r="P130" i="17"/>
  <c r="P131" i="17"/>
  <c r="P132" i="17"/>
  <c r="P133" i="17"/>
  <c r="P134" i="17"/>
  <c r="P135" i="17"/>
  <c r="P136" i="17"/>
  <c r="P137" i="17"/>
  <c r="P138" i="17"/>
  <c r="P139" i="17"/>
  <c r="P140" i="17"/>
  <c r="P141" i="17"/>
  <c r="P142" i="17"/>
  <c r="G64" i="2"/>
  <c r="G66" i="2" s="1"/>
  <c r="H65" i="16" s="1"/>
  <c r="H37" i="17"/>
  <c r="H63" i="17"/>
  <c r="G54" i="2"/>
  <c r="G55" i="2" s="1"/>
  <c r="H62" i="16" s="1"/>
  <c r="G58" i="2"/>
  <c r="G59" i="2" s="1"/>
  <c r="H56" i="16" s="1"/>
  <c r="H9" i="17"/>
  <c r="G135" i="2" s="1"/>
  <c r="G136" i="2" s="1"/>
  <c r="H39" i="17"/>
  <c r="H65" i="17"/>
  <c r="G61" i="2"/>
  <c r="G62" i="2" s="1"/>
  <c r="H55" i="16" s="1"/>
  <c r="H8" i="17"/>
  <c r="H38" i="17"/>
  <c r="H64" i="17"/>
  <c r="G132" i="2"/>
  <c r="G133" i="2" s="1"/>
  <c r="H54" i="16" s="1"/>
  <c r="G67" i="2"/>
  <c r="H49" i="16"/>
  <c r="G56" i="2"/>
  <c r="G65" i="2"/>
  <c r="H10" i="17"/>
  <c r="H40" i="17"/>
  <c r="H66" i="17"/>
  <c r="G144" i="2"/>
  <c r="G145" i="2" s="1"/>
  <c r="H29" i="16" s="1"/>
  <c r="G3" i="18"/>
  <c r="G4" i="18"/>
  <c r="G5" i="18"/>
  <c r="G7" i="18"/>
  <c r="G8" i="18"/>
  <c r="E3" i="18"/>
  <c r="F3" i="18"/>
  <c r="E4" i="18"/>
  <c r="F4" i="18"/>
  <c r="E5" i="18"/>
  <c r="F5" i="18"/>
  <c r="E6" i="18"/>
  <c r="F6" i="18"/>
  <c r="E7" i="18"/>
  <c r="F7" i="18"/>
  <c r="E8" i="18"/>
  <c r="F8" i="18"/>
  <c r="F2" i="18"/>
  <c r="E2" i="18"/>
  <c r="E91" i="2"/>
  <c r="H91" i="2" s="1"/>
  <c r="M45" i="16"/>
  <c r="M62" i="16"/>
  <c r="F56" i="2"/>
  <c r="E56" i="2"/>
  <c r="D56" i="2"/>
  <c r="M7" i="16"/>
  <c r="M33" i="16"/>
  <c r="M9" i="16"/>
  <c r="M46" i="16"/>
  <c r="M10" i="16"/>
  <c r="M17" i="16"/>
  <c r="M3" i="16"/>
  <c r="M47" i="16"/>
  <c r="F142" i="2"/>
  <c r="E142" i="2"/>
  <c r="E141" i="2" s="1"/>
  <c r="D142" i="2"/>
  <c r="F141" i="2"/>
  <c r="F139" i="2"/>
  <c r="F138" i="2" s="1"/>
  <c r="E139" i="2"/>
  <c r="D139" i="2"/>
  <c r="E138" i="2"/>
  <c r="C2" i="13"/>
  <c r="C3" i="13"/>
  <c r="C4" i="13"/>
  <c r="C5" i="13"/>
  <c r="C6" i="13"/>
  <c r="C7" i="13"/>
  <c r="C8" i="13"/>
  <c r="C9" i="13"/>
  <c r="C10" i="13"/>
  <c r="C11" i="13"/>
  <c r="C12" i="13"/>
  <c r="C13" i="13"/>
  <c r="C14" i="13"/>
  <c r="C15" i="13"/>
  <c r="C16" i="13"/>
  <c r="C17" i="13"/>
  <c r="C18" i="13"/>
  <c r="C19" i="13"/>
  <c r="C20" i="13"/>
  <c r="C21" i="13"/>
  <c r="C22" i="13"/>
  <c r="C23" i="13"/>
  <c r="C24" i="13"/>
  <c r="C25" i="13"/>
  <c r="C26" i="13"/>
  <c r="C27" i="13"/>
  <c r="C28" i="13"/>
  <c r="C29" i="13"/>
  <c r="C30" i="13"/>
  <c r="C31" i="13"/>
  <c r="C32" i="13"/>
  <c r="C33" i="13"/>
  <c r="C34" i="13"/>
  <c r="C35" i="13"/>
  <c r="C36" i="13"/>
  <c r="C37" i="13"/>
  <c r="C38" i="13"/>
  <c r="C39" i="13"/>
  <c r="C40" i="13"/>
  <c r="C41" i="13"/>
  <c r="C42" i="13"/>
  <c r="C43" i="13"/>
  <c r="C44" i="13"/>
  <c r="C45" i="13"/>
  <c r="C46" i="13"/>
  <c r="C47" i="13"/>
  <c r="C48" i="13"/>
  <c r="C49" i="13"/>
  <c r="C50" i="13"/>
  <c r="C51" i="13"/>
  <c r="C52" i="13"/>
  <c r="C53" i="13"/>
  <c r="C54" i="13"/>
  <c r="C55" i="13"/>
  <c r="C56" i="13"/>
  <c r="C57" i="13"/>
  <c r="C58" i="13"/>
  <c r="C59" i="13"/>
  <c r="C60" i="13"/>
  <c r="C61" i="13"/>
  <c r="C62" i="13"/>
  <c r="C63" i="13"/>
  <c r="C64" i="13"/>
  <c r="C65" i="13"/>
  <c r="C66" i="13"/>
  <c r="C67" i="13"/>
  <c r="C68" i="13"/>
  <c r="C69" i="13"/>
  <c r="C70" i="13"/>
  <c r="C71" i="13"/>
  <c r="C72" i="13"/>
  <c r="C73" i="13"/>
  <c r="C74" i="13"/>
  <c r="C75" i="13"/>
  <c r="C76" i="13"/>
  <c r="C77" i="13"/>
  <c r="C78" i="13"/>
  <c r="C79" i="13"/>
  <c r="C80" i="13"/>
  <c r="C81" i="13"/>
  <c r="C82" i="13"/>
  <c r="C83" i="13"/>
  <c r="C84" i="13"/>
  <c r="C85" i="13"/>
  <c r="C86" i="13"/>
  <c r="O67" i="16"/>
  <c r="O66" i="16"/>
  <c r="H74" i="16"/>
  <c r="M5" i="16"/>
  <c r="M60" i="16"/>
  <c r="M53" i="16"/>
  <c r="M58" i="16"/>
  <c r="M19" i="16"/>
  <c r="M51" i="16"/>
  <c r="M39" i="16"/>
  <c r="M59" i="16"/>
  <c r="M61" i="16"/>
  <c r="AA65" i="16"/>
  <c r="M56" i="16"/>
  <c r="O72" i="16"/>
  <c r="L72" i="16"/>
  <c r="O71" i="16"/>
  <c r="L71" i="16"/>
  <c r="O70" i="16"/>
  <c r="L70" i="16"/>
  <c r="O74" i="16"/>
  <c r="L74" i="16"/>
  <c r="O73" i="16"/>
  <c r="H73" i="16"/>
  <c r="L73" i="16" s="1"/>
  <c r="O75" i="16"/>
  <c r="H75" i="16"/>
  <c r="L75" i="16" s="1"/>
  <c r="M4" i="16"/>
  <c r="M54" i="16"/>
  <c r="AA29" i="16"/>
  <c r="M29" i="16" s="1"/>
  <c r="M49" i="16"/>
  <c r="N70" i="16"/>
  <c r="N72" i="16"/>
  <c r="N71" i="16"/>
  <c r="I70" i="16"/>
  <c r="J70" i="16" s="1"/>
  <c r="I71" i="16"/>
  <c r="J71" i="16" s="1"/>
  <c r="I72" i="16"/>
  <c r="J72" i="16" s="1"/>
  <c r="N74" i="16"/>
  <c r="N73" i="16"/>
  <c r="I73" i="16"/>
  <c r="J73" i="16" s="1"/>
  <c r="I74" i="16"/>
  <c r="J74" i="16" s="1"/>
  <c r="N75" i="16"/>
  <c r="H43" i="17"/>
  <c r="G103" i="2"/>
  <c r="G104" i="2" s="1"/>
  <c r="H34" i="17"/>
  <c r="G47" i="2" s="1"/>
  <c r="G48" i="2" s="1"/>
  <c r="E48" i="2"/>
  <c r="F58" i="3"/>
  <c r="F59" i="3"/>
  <c r="D58" i="3"/>
  <c r="D59" i="3"/>
  <c r="J2" i="2"/>
  <c r="F65" i="2"/>
  <c r="E65" i="2"/>
  <c r="E64" i="2" s="1"/>
  <c r="M33" i="17" s="1"/>
  <c r="D65" i="2"/>
  <c r="G49" i="2"/>
  <c r="G108" i="2"/>
  <c r="G107" i="2"/>
  <c r="H46" i="16" s="1"/>
  <c r="I46" i="16" s="1"/>
  <c r="M55" i="16"/>
  <c r="M50" i="16"/>
  <c r="N142" i="17"/>
  <c r="M142" i="17"/>
  <c r="H87" i="17"/>
  <c r="H142" i="17"/>
  <c r="F142" i="17"/>
  <c r="E142" i="17"/>
  <c r="N141" i="17"/>
  <c r="M141" i="17"/>
  <c r="F141" i="17"/>
  <c r="E141" i="17"/>
  <c r="N140" i="17"/>
  <c r="M140" i="17"/>
  <c r="F140" i="17"/>
  <c r="E140" i="17"/>
  <c r="N139" i="17"/>
  <c r="M139" i="17"/>
  <c r="H139" i="17"/>
  <c r="F139" i="17"/>
  <c r="E139" i="17"/>
  <c r="N138" i="17"/>
  <c r="M138" i="17"/>
  <c r="H138" i="17"/>
  <c r="F138" i="17"/>
  <c r="E138" i="17"/>
  <c r="N137" i="17"/>
  <c r="M137" i="17"/>
  <c r="H137" i="17"/>
  <c r="F137" i="17"/>
  <c r="E137" i="17"/>
  <c r="N136" i="17"/>
  <c r="M136" i="17"/>
  <c r="H136" i="17"/>
  <c r="F136" i="17"/>
  <c r="E136" i="17"/>
  <c r="N135" i="17"/>
  <c r="M135" i="17"/>
  <c r="H135" i="17"/>
  <c r="F135" i="17"/>
  <c r="E135" i="17"/>
  <c r="N134" i="17"/>
  <c r="M134" i="17"/>
  <c r="H134" i="17"/>
  <c r="F134" i="17"/>
  <c r="E134" i="17"/>
  <c r="N133" i="17"/>
  <c r="M133" i="17"/>
  <c r="H133" i="17"/>
  <c r="F133" i="17"/>
  <c r="E133" i="17"/>
  <c r="N132" i="17"/>
  <c r="M132" i="17"/>
  <c r="H132" i="17"/>
  <c r="F132" i="17"/>
  <c r="E132" i="17"/>
  <c r="N131" i="17"/>
  <c r="M131" i="17"/>
  <c r="H131" i="17"/>
  <c r="F131" i="17"/>
  <c r="E131" i="17"/>
  <c r="N130" i="17"/>
  <c r="M130" i="17"/>
  <c r="H130" i="17"/>
  <c r="F130" i="17"/>
  <c r="E130" i="17"/>
  <c r="N129" i="17"/>
  <c r="M129" i="17"/>
  <c r="H129" i="17"/>
  <c r="F129" i="17"/>
  <c r="E129" i="17"/>
  <c r="N128" i="17"/>
  <c r="M128" i="17"/>
  <c r="H128" i="17"/>
  <c r="F128" i="17"/>
  <c r="E128" i="17"/>
  <c r="N127" i="17"/>
  <c r="M127" i="17"/>
  <c r="H127" i="17"/>
  <c r="F127" i="17"/>
  <c r="E127" i="17"/>
  <c r="N126" i="17"/>
  <c r="M126" i="17"/>
  <c r="H126" i="17"/>
  <c r="F126" i="17"/>
  <c r="E126" i="17"/>
  <c r="N125" i="17"/>
  <c r="M125" i="17"/>
  <c r="H125" i="17"/>
  <c r="F125" i="17"/>
  <c r="E125" i="17"/>
  <c r="N124" i="17"/>
  <c r="M124" i="17"/>
  <c r="H124" i="17"/>
  <c r="F124" i="17"/>
  <c r="E124" i="17"/>
  <c r="H123" i="17"/>
  <c r="F123" i="17"/>
  <c r="E123" i="17"/>
  <c r="F104" i="2"/>
  <c r="F105" i="2"/>
  <c r="F106" i="2"/>
  <c r="F107" i="2"/>
  <c r="F108" i="2"/>
  <c r="F109" i="2"/>
  <c r="H122" i="17"/>
  <c r="F122" i="17"/>
  <c r="E122" i="17"/>
  <c r="C111" i="2"/>
  <c r="F111" i="2"/>
  <c r="F110" i="2" s="1"/>
  <c r="N9" i="17"/>
  <c r="H121" i="17"/>
  <c r="F121" i="17"/>
  <c r="E121" i="17"/>
  <c r="F127" i="2"/>
  <c r="F126" i="2" s="1"/>
  <c r="F91" i="2"/>
  <c r="F93" i="2"/>
  <c r="C94" i="2"/>
  <c r="F94" i="2" s="1"/>
  <c r="F95" i="2"/>
  <c r="H120" i="17"/>
  <c r="F120" i="17"/>
  <c r="E120" i="17"/>
  <c r="F124" i="2"/>
  <c r="F123" i="2" s="1"/>
  <c r="H119" i="17"/>
  <c r="F119" i="17"/>
  <c r="E119" i="17"/>
  <c r="F46" i="2"/>
  <c r="F45" i="2"/>
  <c r="F70" i="2"/>
  <c r="F69" i="2"/>
  <c r="F36" i="17" s="1"/>
  <c r="H118" i="17"/>
  <c r="F118" i="17"/>
  <c r="E118" i="17"/>
  <c r="F66" i="2"/>
  <c r="F67" i="2"/>
  <c r="H117" i="17"/>
  <c r="F117" i="17"/>
  <c r="E117" i="17"/>
  <c r="F55" i="2"/>
  <c r="F57" i="2"/>
  <c r="F59" i="2"/>
  <c r="F60" i="2"/>
  <c r="H116" i="17"/>
  <c r="F120" i="2"/>
  <c r="F116" i="17"/>
  <c r="E116" i="17"/>
  <c r="H115" i="17"/>
  <c r="N114" i="17"/>
  <c r="M114" i="17"/>
  <c r="N113" i="17"/>
  <c r="M113" i="17"/>
  <c r="N112" i="17"/>
  <c r="M112" i="17"/>
  <c r="N111" i="17"/>
  <c r="M111" i="17"/>
  <c r="N110" i="17"/>
  <c r="M110" i="17"/>
  <c r="N109" i="17"/>
  <c r="M109" i="17"/>
  <c r="N108" i="17"/>
  <c r="M108" i="17"/>
  <c r="N107" i="17"/>
  <c r="M107" i="17"/>
  <c r="N106" i="17"/>
  <c r="M106" i="17"/>
  <c r="N105" i="17"/>
  <c r="M105" i="17"/>
  <c r="N104" i="17"/>
  <c r="M104" i="17"/>
  <c r="N103" i="17"/>
  <c r="M103" i="17"/>
  <c r="N102" i="17"/>
  <c r="M102" i="17"/>
  <c r="N101" i="17"/>
  <c r="M101" i="17"/>
  <c r="N100" i="17"/>
  <c r="M100" i="17"/>
  <c r="N99" i="17"/>
  <c r="M99" i="17"/>
  <c r="N98" i="17"/>
  <c r="M98" i="17"/>
  <c r="N97" i="17"/>
  <c r="M97" i="17"/>
  <c r="N96" i="17"/>
  <c r="M96" i="17"/>
  <c r="N95" i="17"/>
  <c r="M95" i="17"/>
  <c r="F145" i="2"/>
  <c r="F144" i="2"/>
  <c r="E145" i="2"/>
  <c r="E144" i="2"/>
  <c r="D145" i="2"/>
  <c r="F136" i="2"/>
  <c r="F135" i="2"/>
  <c r="E136" i="2"/>
  <c r="E135" i="2"/>
  <c r="E65" i="17" s="1"/>
  <c r="D136" i="2"/>
  <c r="F86" i="17"/>
  <c r="E86" i="17"/>
  <c r="F85" i="17"/>
  <c r="E85" i="17"/>
  <c r="F84" i="17"/>
  <c r="E84" i="17"/>
  <c r="F83" i="17"/>
  <c r="E83" i="17"/>
  <c r="F82" i="17"/>
  <c r="E82" i="17"/>
  <c r="F81" i="17"/>
  <c r="E81" i="17"/>
  <c r="F80" i="17"/>
  <c r="E80" i="17"/>
  <c r="F79" i="17"/>
  <c r="E79" i="17"/>
  <c r="F78" i="17"/>
  <c r="E78" i="17"/>
  <c r="F77" i="17"/>
  <c r="E77" i="17"/>
  <c r="F76" i="17"/>
  <c r="E76" i="17"/>
  <c r="F75" i="17"/>
  <c r="E75" i="17"/>
  <c r="F74" i="17"/>
  <c r="E74" i="17"/>
  <c r="G2" i="16"/>
  <c r="F92" i="2"/>
  <c r="F73" i="17"/>
  <c r="E73" i="17"/>
  <c r="F72" i="17"/>
  <c r="F71" i="17"/>
  <c r="E71" i="17"/>
  <c r="F113" i="2"/>
  <c r="F114" i="2"/>
  <c r="F115" i="2"/>
  <c r="F116" i="2"/>
  <c r="F117" i="2"/>
  <c r="F73" i="2"/>
  <c r="F72" i="2"/>
  <c r="F69" i="17" s="1"/>
  <c r="F133" i="2"/>
  <c r="F132" i="2"/>
  <c r="F130" i="2"/>
  <c r="F129" i="2"/>
  <c r="H36" i="17"/>
  <c r="E133" i="2"/>
  <c r="E132" i="2" s="1"/>
  <c r="E64" i="17"/>
  <c r="G64" i="17" s="1"/>
  <c r="D133" i="2"/>
  <c r="F114" i="17"/>
  <c r="G114" i="17" s="1"/>
  <c r="E114" i="17"/>
  <c r="F113" i="17"/>
  <c r="G113" i="17" s="1"/>
  <c r="E113" i="17"/>
  <c r="F112" i="17"/>
  <c r="G112" i="17" s="1"/>
  <c r="E112" i="17"/>
  <c r="F111" i="17"/>
  <c r="G111" i="17" s="1"/>
  <c r="E111" i="17"/>
  <c r="F110" i="17"/>
  <c r="G110" i="17" s="1"/>
  <c r="E110" i="17"/>
  <c r="F109" i="17"/>
  <c r="E109" i="17"/>
  <c r="F108" i="17"/>
  <c r="E108" i="17"/>
  <c r="F107" i="17"/>
  <c r="G107" i="17" s="1"/>
  <c r="E107" i="17"/>
  <c r="F106" i="17"/>
  <c r="E106" i="17"/>
  <c r="F105" i="17"/>
  <c r="G105" i="17" s="1"/>
  <c r="E105" i="17"/>
  <c r="F104" i="17"/>
  <c r="G104" i="17" s="1"/>
  <c r="E104" i="17"/>
  <c r="F103" i="17"/>
  <c r="G103" i="17" s="1"/>
  <c r="E103" i="17"/>
  <c r="F102" i="17"/>
  <c r="G102" i="17" s="1"/>
  <c r="E102" i="17"/>
  <c r="F101" i="17"/>
  <c r="G101" i="17" s="1"/>
  <c r="E101" i="17"/>
  <c r="F100" i="17"/>
  <c r="G100" i="17" s="1"/>
  <c r="E100" i="17"/>
  <c r="F99" i="17"/>
  <c r="E99" i="17"/>
  <c r="F98" i="17"/>
  <c r="G98" i="17" s="1"/>
  <c r="E98" i="17"/>
  <c r="F97" i="17"/>
  <c r="E97" i="17"/>
  <c r="F96" i="17"/>
  <c r="G96" i="17" s="1"/>
  <c r="E96" i="17"/>
  <c r="F95" i="17"/>
  <c r="G95" i="17" s="1"/>
  <c r="E95" i="17"/>
  <c r="F94" i="17"/>
  <c r="G94" i="17" s="1"/>
  <c r="E94" i="17"/>
  <c r="F93" i="17"/>
  <c r="G93" i="17" s="1"/>
  <c r="E93" i="17"/>
  <c r="F92" i="17"/>
  <c r="G92" i="17" s="1"/>
  <c r="E92" i="17"/>
  <c r="F91" i="17"/>
  <c r="E91" i="17"/>
  <c r="F90" i="17"/>
  <c r="G90" i="17" s="1"/>
  <c r="E90" i="17"/>
  <c r="F89" i="17"/>
  <c r="E89" i="17"/>
  <c r="F58" i="17"/>
  <c r="G58" i="17" s="1"/>
  <c r="E58" i="17"/>
  <c r="F57" i="17"/>
  <c r="G57" i="17" s="1"/>
  <c r="E57" i="17"/>
  <c r="F56" i="17"/>
  <c r="G56" i="17" s="1"/>
  <c r="E56" i="17"/>
  <c r="F55" i="17"/>
  <c r="G55" i="17" s="1"/>
  <c r="E55" i="17"/>
  <c r="F54" i="17"/>
  <c r="G54" i="17" s="1"/>
  <c r="E54" i="17"/>
  <c r="F53" i="17"/>
  <c r="E53" i="17"/>
  <c r="F52" i="17"/>
  <c r="G52" i="17" s="1"/>
  <c r="E52" i="17"/>
  <c r="F51" i="17"/>
  <c r="E51" i="17"/>
  <c r="F50" i="17"/>
  <c r="G50" i="17" s="1"/>
  <c r="E50" i="17"/>
  <c r="F49" i="17"/>
  <c r="G49" i="17" s="1"/>
  <c r="E49" i="17"/>
  <c r="F48" i="17"/>
  <c r="G48" i="17" s="1"/>
  <c r="E48" i="17"/>
  <c r="F47" i="17"/>
  <c r="G47" i="17" s="1"/>
  <c r="E47" i="17"/>
  <c r="F46" i="17"/>
  <c r="G46" i="17" s="1"/>
  <c r="E46" i="17"/>
  <c r="F45" i="17"/>
  <c r="F44" i="17"/>
  <c r="E44" i="17"/>
  <c r="E38" i="17"/>
  <c r="F48" i="2"/>
  <c r="F49" i="2"/>
  <c r="F30" i="17"/>
  <c r="E30" i="17"/>
  <c r="E14" i="17"/>
  <c r="F14" i="17"/>
  <c r="F15" i="17"/>
  <c r="E16" i="17"/>
  <c r="F112" i="2"/>
  <c r="F70" i="17" s="1"/>
  <c r="G70" i="17" s="1"/>
  <c r="F16" i="17"/>
  <c r="E17" i="17"/>
  <c r="G17" i="17" s="1"/>
  <c r="F17" i="17"/>
  <c r="E18" i="17"/>
  <c r="G18" i="17" s="1"/>
  <c r="F18" i="17"/>
  <c r="E19" i="17"/>
  <c r="F19" i="17"/>
  <c r="E20" i="17"/>
  <c r="G20" i="17" s="1"/>
  <c r="F20" i="17"/>
  <c r="E21" i="17"/>
  <c r="G21" i="17" s="1"/>
  <c r="F21" i="17"/>
  <c r="E22" i="17"/>
  <c r="G22" i="17" s="1"/>
  <c r="F22" i="17"/>
  <c r="E23" i="17"/>
  <c r="G23" i="17" s="1"/>
  <c r="F23" i="17"/>
  <c r="E24" i="17"/>
  <c r="G24" i="17" s="1"/>
  <c r="F24" i="17"/>
  <c r="E25" i="17"/>
  <c r="F25" i="17"/>
  <c r="E26" i="17"/>
  <c r="F26" i="17"/>
  <c r="E27" i="17"/>
  <c r="G27" i="17" s="1"/>
  <c r="F27" i="17"/>
  <c r="E28" i="17"/>
  <c r="G28" i="17" s="1"/>
  <c r="F28" i="17"/>
  <c r="E29" i="17"/>
  <c r="G29" i="17" s="1"/>
  <c r="F29" i="17"/>
  <c r="H35" i="17"/>
  <c r="G126" i="2" s="1"/>
  <c r="E130" i="2"/>
  <c r="E129" i="2"/>
  <c r="E60" i="17" s="1"/>
  <c r="G60" i="17" s="1"/>
  <c r="D130" i="2"/>
  <c r="F62" i="2"/>
  <c r="F63" i="2"/>
  <c r="N86" i="17"/>
  <c r="M86" i="17"/>
  <c r="N85" i="17"/>
  <c r="M85" i="17"/>
  <c r="N84" i="17"/>
  <c r="M84" i="17"/>
  <c r="N83" i="17"/>
  <c r="M83" i="17"/>
  <c r="N82" i="17"/>
  <c r="M82" i="17"/>
  <c r="N81" i="17"/>
  <c r="M81" i="17"/>
  <c r="N80" i="17"/>
  <c r="M80" i="17"/>
  <c r="N79" i="17"/>
  <c r="M79" i="17"/>
  <c r="N78" i="17"/>
  <c r="M78" i="17"/>
  <c r="N77" i="17"/>
  <c r="M77" i="17"/>
  <c r="N76" i="17"/>
  <c r="M76" i="17"/>
  <c r="N75" i="17"/>
  <c r="M75" i="17"/>
  <c r="N74" i="17"/>
  <c r="M74" i="17"/>
  <c r="N73" i="17"/>
  <c r="M73" i="17"/>
  <c r="N72" i="17"/>
  <c r="M72" i="17"/>
  <c r="N71" i="17"/>
  <c r="M71" i="17"/>
  <c r="N70" i="17"/>
  <c r="M70" i="17"/>
  <c r="N69" i="17"/>
  <c r="M69" i="17"/>
  <c r="N68" i="17"/>
  <c r="M68" i="17"/>
  <c r="N67" i="17"/>
  <c r="M67" i="17"/>
  <c r="N66" i="17"/>
  <c r="M66" i="17"/>
  <c r="F76" i="2"/>
  <c r="F78" i="2"/>
  <c r="F79" i="2"/>
  <c r="M38" i="17"/>
  <c r="N38" i="17"/>
  <c r="M39" i="17"/>
  <c r="N39" i="17"/>
  <c r="M40" i="17"/>
  <c r="N40" i="17"/>
  <c r="M41" i="17"/>
  <c r="N41" i="17"/>
  <c r="M42" i="17"/>
  <c r="N42" i="17"/>
  <c r="M43" i="17"/>
  <c r="N43" i="17"/>
  <c r="M44" i="17"/>
  <c r="N44" i="17"/>
  <c r="M45" i="17"/>
  <c r="N45" i="17"/>
  <c r="M46" i="17"/>
  <c r="N46" i="17"/>
  <c r="M47" i="17"/>
  <c r="N47" i="17"/>
  <c r="M48" i="17"/>
  <c r="N48" i="17"/>
  <c r="M49" i="17"/>
  <c r="N49" i="17"/>
  <c r="M50" i="17"/>
  <c r="N50" i="17"/>
  <c r="M51" i="17"/>
  <c r="N51" i="17"/>
  <c r="M52" i="17"/>
  <c r="N52" i="17"/>
  <c r="M53" i="17"/>
  <c r="N53" i="17"/>
  <c r="M54" i="17"/>
  <c r="N54" i="17"/>
  <c r="M55" i="17"/>
  <c r="N55" i="17"/>
  <c r="M56" i="17"/>
  <c r="N56" i="17"/>
  <c r="M57" i="17"/>
  <c r="N57" i="17"/>
  <c r="M58" i="17"/>
  <c r="N58" i="17"/>
  <c r="M11" i="17"/>
  <c r="N11" i="17"/>
  <c r="M12" i="17"/>
  <c r="N12" i="17"/>
  <c r="M13" i="17"/>
  <c r="N13" i="17"/>
  <c r="M14" i="17"/>
  <c r="N14" i="17"/>
  <c r="M15" i="17"/>
  <c r="N15" i="17"/>
  <c r="M16" i="17"/>
  <c r="N16" i="17"/>
  <c r="M17" i="17"/>
  <c r="N17" i="17"/>
  <c r="M18" i="17"/>
  <c r="N18" i="17"/>
  <c r="M19" i="17"/>
  <c r="N19" i="17"/>
  <c r="M20" i="17"/>
  <c r="N20" i="17"/>
  <c r="M21" i="17"/>
  <c r="N21" i="17"/>
  <c r="M22" i="17"/>
  <c r="N22" i="17"/>
  <c r="M23" i="17"/>
  <c r="N23" i="17"/>
  <c r="M24" i="17"/>
  <c r="N24" i="17"/>
  <c r="M25" i="17"/>
  <c r="N25" i="17"/>
  <c r="M26" i="17"/>
  <c r="N26" i="17"/>
  <c r="M27" i="17"/>
  <c r="N27" i="17"/>
  <c r="M28" i="17"/>
  <c r="N28" i="17"/>
  <c r="M29" i="17"/>
  <c r="N29" i="17"/>
  <c r="M30" i="17"/>
  <c r="N30" i="17"/>
  <c r="E127" i="2"/>
  <c r="E126" i="2" s="1"/>
  <c r="M92" i="17"/>
  <c r="D127" i="2"/>
  <c r="E124" i="2"/>
  <c r="E123" i="2" s="1"/>
  <c r="E68" i="17" s="1"/>
  <c r="D124" i="2"/>
  <c r="H70" i="17"/>
  <c r="H16" i="17"/>
  <c r="G112" i="2"/>
  <c r="H4" i="17"/>
  <c r="G100" i="2"/>
  <c r="G87" i="2"/>
  <c r="G88" i="2"/>
  <c r="H38" i="16" s="1"/>
  <c r="N38" i="16"/>
  <c r="G81" i="2"/>
  <c r="G84" i="2"/>
  <c r="G75" i="2"/>
  <c r="H69" i="17"/>
  <c r="G72" i="2" s="1"/>
  <c r="G73" i="2" s="1"/>
  <c r="H39" i="16" s="1"/>
  <c r="I39" i="16"/>
  <c r="G50" i="2"/>
  <c r="G41" i="2"/>
  <c r="G33" i="2"/>
  <c r="G35" i="2" s="1"/>
  <c r="G28" i="2"/>
  <c r="G19" i="2"/>
  <c r="G24" i="2" s="1"/>
  <c r="G10" i="2"/>
  <c r="G13" i="2" s="1"/>
  <c r="G2" i="2"/>
  <c r="H6" i="17"/>
  <c r="G45" i="2" s="1"/>
  <c r="G46" i="2" s="1"/>
  <c r="H62" i="17"/>
  <c r="H89" i="17"/>
  <c r="H90" i="17"/>
  <c r="H91" i="17"/>
  <c r="H92" i="17"/>
  <c r="H93" i="17"/>
  <c r="H94" i="17"/>
  <c r="H95" i="17"/>
  <c r="H96" i="17"/>
  <c r="H97" i="17"/>
  <c r="H98" i="17"/>
  <c r="H99" i="17"/>
  <c r="H100" i="17"/>
  <c r="H101" i="17"/>
  <c r="H102" i="17"/>
  <c r="H103" i="17"/>
  <c r="H104" i="17"/>
  <c r="H105" i="17"/>
  <c r="H106" i="17"/>
  <c r="H107" i="17"/>
  <c r="H108" i="17"/>
  <c r="H109" i="17"/>
  <c r="H110" i="17"/>
  <c r="H111" i="17"/>
  <c r="H112" i="17"/>
  <c r="H113" i="17"/>
  <c r="H114" i="17"/>
  <c r="H88" i="17"/>
  <c r="H61" i="17"/>
  <c r="H67" i="17"/>
  <c r="H68" i="17"/>
  <c r="H73" i="17"/>
  <c r="H74" i="17"/>
  <c r="H75" i="17"/>
  <c r="H76" i="17"/>
  <c r="H77" i="17"/>
  <c r="H78" i="17"/>
  <c r="H79" i="17"/>
  <c r="H80" i="17"/>
  <c r="H81" i="17"/>
  <c r="H82" i="17"/>
  <c r="H83" i="17"/>
  <c r="H84" i="17"/>
  <c r="H85" i="17"/>
  <c r="H86" i="17"/>
  <c r="H33" i="17"/>
  <c r="G97" i="2" s="1"/>
  <c r="G98" i="2" s="1"/>
  <c r="H61" i="16" s="1"/>
  <c r="L61" i="16" s="1"/>
  <c r="H41" i="17"/>
  <c r="H42" i="17"/>
  <c r="H46" i="17"/>
  <c r="H47" i="17"/>
  <c r="H48" i="17"/>
  <c r="H49" i="17"/>
  <c r="H50" i="17"/>
  <c r="H51" i="17"/>
  <c r="H52" i="17"/>
  <c r="H53" i="17"/>
  <c r="H54" i="17"/>
  <c r="H55" i="17"/>
  <c r="H56" i="17"/>
  <c r="H57" i="17"/>
  <c r="H58" i="17"/>
  <c r="H32" i="17"/>
  <c r="G119" i="2" s="1"/>
  <c r="G120" i="2" s="1"/>
  <c r="H60" i="16" s="1"/>
  <c r="L60" i="16" s="1"/>
  <c r="H5" i="17"/>
  <c r="H11" i="17"/>
  <c r="G110" i="2" s="1"/>
  <c r="G111" i="2" s="1"/>
  <c r="H59" i="16" s="1"/>
  <c r="H12" i="17"/>
  <c r="H13" i="17"/>
  <c r="G90" i="2" s="1"/>
  <c r="G95" i="2" s="1"/>
  <c r="H51" i="16" s="1"/>
  <c r="H17" i="17"/>
  <c r="H18" i="17"/>
  <c r="H19" i="17"/>
  <c r="H20" i="17"/>
  <c r="H21" i="17"/>
  <c r="H22" i="17"/>
  <c r="H23" i="17"/>
  <c r="H24" i="17"/>
  <c r="H25" i="17"/>
  <c r="H26" i="17"/>
  <c r="H27" i="17"/>
  <c r="H28" i="17"/>
  <c r="H29" i="17"/>
  <c r="H30" i="17"/>
  <c r="E63" i="2"/>
  <c r="D63" i="2"/>
  <c r="E62" i="2"/>
  <c r="E61" i="2"/>
  <c r="M60" i="17" s="1"/>
  <c r="D62" i="2"/>
  <c r="E60" i="2"/>
  <c r="D60" i="2"/>
  <c r="E59" i="2"/>
  <c r="E58" i="2" s="1"/>
  <c r="M32" i="17" s="1"/>
  <c r="D59" i="2"/>
  <c r="G10" i="16"/>
  <c r="F10" i="16"/>
  <c r="E80" i="2"/>
  <c r="D80" i="2"/>
  <c r="E78" i="2"/>
  <c r="D78" i="2"/>
  <c r="E49" i="2"/>
  <c r="E47" i="2" s="1"/>
  <c r="D49" i="2"/>
  <c r="D48" i="2"/>
  <c r="D121" i="2"/>
  <c r="E120" i="2"/>
  <c r="D120" i="2"/>
  <c r="E117" i="2"/>
  <c r="D117" i="2"/>
  <c r="E116" i="2"/>
  <c r="D116" i="2"/>
  <c r="E115" i="2"/>
  <c r="D115" i="2"/>
  <c r="E114" i="2"/>
  <c r="D114" i="2"/>
  <c r="E113" i="2"/>
  <c r="E112" i="2"/>
  <c r="E70" i="17" s="1"/>
  <c r="D113" i="2"/>
  <c r="D111" i="2"/>
  <c r="E109" i="2"/>
  <c r="D109" i="2"/>
  <c r="E108" i="2"/>
  <c r="D108" i="2"/>
  <c r="E107" i="2"/>
  <c r="D107" i="2"/>
  <c r="E106" i="2"/>
  <c r="D106" i="2"/>
  <c r="E105" i="2"/>
  <c r="D105" i="2"/>
  <c r="E104" i="2"/>
  <c r="E103" i="2" s="1"/>
  <c r="M94" i="17"/>
  <c r="D104" i="2"/>
  <c r="E101" i="2"/>
  <c r="E100" i="2" s="1"/>
  <c r="E4" i="17" s="1"/>
  <c r="D101" i="2"/>
  <c r="E98" i="2"/>
  <c r="E97" i="2" s="1"/>
  <c r="M118" i="17"/>
  <c r="D98" i="2"/>
  <c r="E95" i="2"/>
  <c r="D95" i="2"/>
  <c r="D94" i="2"/>
  <c r="E93" i="2"/>
  <c r="D93" i="2"/>
  <c r="D92" i="2"/>
  <c r="D91" i="2"/>
  <c r="E88" i="2"/>
  <c r="E87" i="2"/>
  <c r="D88" i="2"/>
  <c r="E86" i="2"/>
  <c r="D86" i="2"/>
  <c r="E85" i="2"/>
  <c r="D85" i="2"/>
  <c r="E84" i="2"/>
  <c r="D84" i="2"/>
  <c r="E83" i="2"/>
  <c r="D83" i="2"/>
  <c r="E82" i="2"/>
  <c r="E81" i="2" s="1"/>
  <c r="D82" i="2"/>
  <c r="E79" i="2"/>
  <c r="D79" i="2"/>
  <c r="D77" i="2"/>
  <c r="E76" i="2"/>
  <c r="D76" i="2"/>
  <c r="E73" i="2"/>
  <c r="E72" i="2" s="1"/>
  <c r="E69" i="17"/>
  <c r="D73" i="2"/>
  <c r="E70" i="2"/>
  <c r="E69" i="2" s="1"/>
  <c r="M123" i="17" s="1"/>
  <c r="D70" i="2"/>
  <c r="E67" i="2"/>
  <c r="D67" i="2"/>
  <c r="E66" i="2"/>
  <c r="D66" i="2"/>
  <c r="E57" i="2"/>
  <c r="D57" i="2"/>
  <c r="E55" i="2"/>
  <c r="E54" i="2" s="1"/>
  <c r="M116" i="17"/>
  <c r="D55" i="2"/>
  <c r="E52" i="2"/>
  <c r="D52" i="2"/>
  <c r="E51" i="2"/>
  <c r="E50" i="2" s="1"/>
  <c r="D51" i="2"/>
  <c r="E46" i="2"/>
  <c r="E45" i="2"/>
  <c r="M90" i="17" s="1"/>
  <c r="D46" i="2"/>
  <c r="E43" i="2"/>
  <c r="D43" i="2"/>
  <c r="E42" i="2"/>
  <c r="E41" i="2"/>
  <c r="D42" i="2"/>
  <c r="E39" i="2"/>
  <c r="D39" i="2"/>
  <c r="E38" i="2"/>
  <c r="D38" i="2"/>
  <c r="E37" i="2"/>
  <c r="D37" i="2"/>
  <c r="E36" i="2"/>
  <c r="D36" i="2"/>
  <c r="E35" i="2"/>
  <c r="D35" i="2"/>
  <c r="D34" i="2"/>
  <c r="E31" i="2"/>
  <c r="D31" i="2"/>
  <c r="D30" i="2"/>
  <c r="E29" i="2"/>
  <c r="D29" i="2"/>
  <c r="D26" i="2"/>
  <c r="E25" i="2"/>
  <c r="D25" i="2"/>
  <c r="E24" i="2"/>
  <c r="D24" i="2"/>
  <c r="E23" i="2"/>
  <c r="D23" i="2"/>
  <c r="E22" i="2"/>
  <c r="D22" i="2"/>
  <c r="E21" i="2"/>
  <c r="D21" i="2"/>
  <c r="D20" i="2"/>
  <c r="D17" i="2"/>
  <c r="E16" i="2"/>
  <c r="D16" i="2"/>
  <c r="E15" i="2"/>
  <c r="D15" i="2"/>
  <c r="E14" i="2"/>
  <c r="D14" i="2"/>
  <c r="E13" i="2"/>
  <c r="D13" i="2"/>
  <c r="E12" i="2"/>
  <c r="D12" i="2"/>
  <c r="D11" i="2"/>
  <c r="D4" i="2"/>
  <c r="D5" i="2"/>
  <c r="D6" i="2"/>
  <c r="D7" i="2"/>
  <c r="D8" i="2"/>
  <c r="E4" i="2"/>
  <c r="E5" i="2"/>
  <c r="E6" i="2"/>
  <c r="E7" i="2"/>
  <c r="E8" i="2"/>
  <c r="D3" i="2"/>
  <c r="E94" i="2"/>
  <c r="F8" i="16"/>
  <c r="E20" i="2"/>
  <c r="F2" i="16"/>
  <c r="E34" i="2"/>
  <c r="E111" i="2"/>
  <c r="E110" i="2"/>
  <c r="O68" i="16"/>
  <c r="H68" i="16"/>
  <c r="O65" i="16"/>
  <c r="O64" i="16"/>
  <c r="O63" i="16"/>
  <c r="O62" i="16"/>
  <c r="E92" i="2"/>
  <c r="G58" i="16"/>
  <c r="F101" i="2"/>
  <c r="F100" i="2" s="1"/>
  <c r="F4" i="17"/>
  <c r="O55" i="16"/>
  <c r="O56" i="16"/>
  <c r="H57" i="16"/>
  <c r="L57" i="16"/>
  <c r="O57" i="16"/>
  <c r="O58" i="16"/>
  <c r="O59" i="16"/>
  <c r="O60" i="16"/>
  <c r="O61" i="16"/>
  <c r="G61" i="16"/>
  <c r="F98" i="2" s="1"/>
  <c r="F97" i="2" s="1"/>
  <c r="F88" i="2"/>
  <c r="F87" i="2" s="1"/>
  <c r="F86" i="2"/>
  <c r="F85" i="2"/>
  <c r="F84" i="2"/>
  <c r="F83" i="2"/>
  <c r="F82" i="2"/>
  <c r="G28" i="16"/>
  <c r="F52" i="2"/>
  <c r="F51" i="2"/>
  <c r="F43" i="2"/>
  <c r="F42" i="2"/>
  <c r="F39" i="2"/>
  <c r="F38" i="2"/>
  <c r="F37" i="2"/>
  <c r="F36" i="2"/>
  <c r="F35" i="2"/>
  <c r="F34" i="2"/>
  <c r="F31" i="2"/>
  <c r="F29" i="2"/>
  <c r="F27" i="2"/>
  <c r="F25" i="2"/>
  <c r="F24" i="2"/>
  <c r="F23" i="2"/>
  <c r="F22" i="2"/>
  <c r="F21" i="2"/>
  <c r="G8" i="16"/>
  <c r="F20" i="2"/>
  <c r="F18" i="2"/>
  <c r="F17" i="2"/>
  <c r="F16" i="2"/>
  <c r="F15" i="2"/>
  <c r="F14" i="2"/>
  <c r="F13" i="2"/>
  <c r="F12" i="2"/>
  <c r="F3" i="2"/>
  <c r="F2" i="2" s="1"/>
  <c r="F4" i="2"/>
  <c r="F5" i="2"/>
  <c r="F6" i="2"/>
  <c r="F7" i="2"/>
  <c r="F8" i="2"/>
  <c r="K2" i="2"/>
  <c r="Q10" i="13"/>
  <c r="H66" i="13"/>
  <c r="K86" i="13"/>
  <c r="J86" i="13"/>
  <c r="K85" i="13"/>
  <c r="J85" i="13"/>
  <c r="K84" i="13"/>
  <c r="J84" i="13"/>
  <c r="K83" i="13"/>
  <c r="J83" i="13"/>
  <c r="K82" i="13"/>
  <c r="J82" i="13"/>
  <c r="K81" i="13"/>
  <c r="J81" i="13"/>
  <c r="K80" i="13"/>
  <c r="J80" i="13"/>
  <c r="K79" i="13"/>
  <c r="J79" i="13"/>
  <c r="K78" i="13"/>
  <c r="J78" i="13"/>
  <c r="K77" i="13"/>
  <c r="J77" i="13"/>
  <c r="K76" i="13"/>
  <c r="J76" i="13"/>
  <c r="K75" i="13"/>
  <c r="J75" i="13"/>
  <c r="K74" i="13"/>
  <c r="J74" i="13"/>
  <c r="K73" i="13"/>
  <c r="J73" i="13"/>
  <c r="K72" i="13"/>
  <c r="J72" i="13"/>
  <c r="K71" i="13"/>
  <c r="J71" i="13"/>
  <c r="K70" i="13"/>
  <c r="J70" i="13"/>
  <c r="K69" i="13"/>
  <c r="J69" i="13"/>
  <c r="K68" i="13"/>
  <c r="J68" i="13"/>
  <c r="K67" i="13"/>
  <c r="J67" i="13"/>
  <c r="K66" i="13"/>
  <c r="J66" i="13"/>
  <c r="H23" i="13"/>
  <c r="J23" i="13"/>
  <c r="K63" i="13"/>
  <c r="H63" i="13"/>
  <c r="J63" i="13" s="1"/>
  <c r="H61" i="13"/>
  <c r="K65" i="13"/>
  <c r="H65" i="13"/>
  <c r="J65" i="13" s="1"/>
  <c r="K64" i="13"/>
  <c r="J64" i="13"/>
  <c r="K62" i="13"/>
  <c r="H62" i="13"/>
  <c r="J62" i="13"/>
  <c r="K61" i="13"/>
  <c r="J61" i="13"/>
  <c r="N61" i="13" s="1"/>
  <c r="K23" i="13"/>
  <c r="K2" i="13"/>
  <c r="L2" i="13"/>
  <c r="J2" i="13"/>
  <c r="N2" i="13"/>
  <c r="O54" i="16"/>
  <c r="O52" i="16"/>
  <c r="O29" i="16"/>
  <c r="O53" i="16"/>
  <c r="O51" i="16"/>
  <c r="O4" i="16"/>
  <c r="O2" i="16"/>
  <c r="O76" i="16"/>
  <c r="O49" i="16"/>
  <c r="O47" i="16"/>
  <c r="O45" i="16"/>
  <c r="O43" i="16"/>
  <c r="O41" i="16"/>
  <c r="O39" i="16"/>
  <c r="O37" i="16"/>
  <c r="O35" i="16"/>
  <c r="O33" i="16"/>
  <c r="O31" i="16"/>
  <c r="O27" i="16"/>
  <c r="O25" i="16"/>
  <c r="O23" i="16"/>
  <c r="O21" i="16"/>
  <c r="O19" i="16"/>
  <c r="O17" i="16"/>
  <c r="O15" i="16"/>
  <c r="O13" i="16"/>
  <c r="O11" i="16"/>
  <c r="O9" i="16"/>
  <c r="O7" i="16"/>
  <c r="O5" i="16"/>
  <c r="O3" i="16"/>
  <c r="O77" i="16"/>
  <c r="O50" i="16"/>
  <c r="O48" i="16"/>
  <c r="O46" i="16"/>
  <c r="O44" i="16"/>
  <c r="O42" i="16"/>
  <c r="O40" i="16"/>
  <c r="O38" i="16"/>
  <c r="O36" i="16"/>
  <c r="O34" i="16"/>
  <c r="O32" i="16"/>
  <c r="O30" i="16"/>
  <c r="O28" i="16"/>
  <c r="O26" i="16"/>
  <c r="O24" i="16"/>
  <c r="O22" i="16"/>
  <c r="O20" i="16"/>
  <c r="O18" i="16"/>
  <c r="O16" i="16"/>
  <c r="O14" i="16"/>
  <c r="O12" i="16"/>
  <c r="O10" i="16"/>
  <c r="O8" i="16"/>
  <c r="O6" i="16"/>
  <c r="H12" i="16"/>
  <c r="N12" i="16" s="1"/>
  <c r="H13" i="16"/>
  <c r="N13" i="16" s="1"/>
  <c r="H14" i="16"/>
  <c r="N14" i="16" s="1"/>
  <c r="H24" i="16"/>
  <c r="H25" i="16"/>
  <c r="N25" i="16" s="1"/>
  <c r="H26" i="16"/>
  <c r="H30" i="16"/>
  <c r="H34" i="16"/>
  <c r="N34" i="16"/>
  <c r="H35" i="16"/>
  <c r="L35" i="16"/>
  <c r="H37" i="16"/>
  <c r="N37" i="16"/>
  <c r="H40" i="16"/>
  <c r="L40" i="16"/>
  <c r="H41" i="16"/>
  <c r="N41" i="16"/>
  <c r="H42" i="16"/>
  <c r="N42" i="16"/>
  <c r="H76" i="16"/>
  <c r="N76" i="16"/>
  <c r="H77" i="16"/>
  <c r="K22" i="13"/>
  <c r="H22" i="13"/>
  <c r="J22" i="13"/>
  <c r="K21" i="13"/>
  <c r="H21" i="13"/>
  <c r="J21" i="13" s="1"/>
  <c r="H20" i="13"/>
  <c r="K20" i="13"/>
  <c r="J20" i="13"/>
  <c r="H19" i="13"/>
  <c r="K19" i="13"/>
  <c r="J19" i="13"/>
  <c r="K18" i="13"/>
  <c r="H18" i="13"/>
  <c r="J18" i="13"/>
  <c r="H17" i="13"/>
  <c r="K17" i="13"/>
  <c r="J17" i="13"/>
  <c r="G34" i="16"/>
  <c r="G25" i="16"/>
  <c r="G12" i="16"/>
  <c r="K35" i="13"/>
  <c r="J35" i="13"/>
  <c r="J33" i="13"/>
  <c r="J32" i="13"/>
  <c r="N16" i="13"/>
  <c r="O16" i="13"/>
  <c r="O14" i="13"/>
  <c r="N15" i="13"/>
  <c r="O15" i="13" s="1"/>
  <c r="K15" i="13"/>
  <c r="J15" i="13"/>
  <c r="K16" i="13"/>
  <c r="J16" i="13"/>
  <c r="K14" i="13"/>
  <c r="J14" i="13"/>
  <c r="J4" i="13"/>
  <c r="N4" i="13" s="1"/>
  <c r="J3" i="13"/>
  <c r="N3" i="13" s="1"/>
  <c r="K33" i="13"/>
  <c r="K32" i="13"/>
  <c r="K31" i="13"/>
  <c r="J31" i="13"/>
  <c r="K11" i="13"/>
  <c r="K9" i="13"/>
  <c r="K8" i="13"/>
  <c r="K7" i="13"/>
  <c r="K6" i="13"/>
  <c r="K5" i="13"/>
  <c r="K4" i="13"/>
  <c r="K3" i="13"/>
  <c r="J5" i="13"/>
  <c r="J6" i="13"/>
  <c r="J7" i="13"/>
  <c r="J8" i="13"/>
  <c r="J9" i="13"/>
  <c r="J10" i="13"/>
  <c r="J11" i="13"/>
  <c r="K10" i="13"/>
  <c r="H5" i="7"/>
  <c r="E41" i="7"/>
  <c r="I41" i="7"/>
  <c r="E43" i="7"/>
  <c r="I43" i="7"/>
  <c r="E42" i="7"/>
  <c r="I42" i="7"/>
  <c r="F37" i="7"/>
  <c r="E37" i="7"/>
  <c r="I37" i="7" s="1"/>
  <c r="F36" i="7"/>
  <c r="E36" i="7"/>
  <c r="I36" i="7"/>
  <c r="F33" i="7"/>
  <c r="E33" i="7"/>
  <c r="I33" i="7" s="1"/>
  <c r="F32" i="7"/>
  <c r="E32" i="7"/>
  <c r="I32" i="7"/>
  <c r="F30" i="7"/>
  <c r="E30" i="7"/>
  <c r="I30" i="7" s="1"/>
  <c r="F29" i="7"/>
  <c r="E29" i="7"/>
  <c r="I29" i="7"/>
  <c r="E28" i="7"/>
  <c r="I28" i="7"/>
  <c r="F27" i="7"/>
  <c r="E27" i="7"/>
  <c r="I27" i="7" s="1"/>
  <c r="F26" i="7"/>
  <c r="E26" i="7"/>
  <c r="I26" i="7"/>
  <c r="F25" i="7"/>
  <c r="E25" i="7"/>
  <c r="I25" i="7" s="1"/>
  <c r="F24" i="7"/>
  <c r="E24" i="7"/>
  <c r="I24" i="7"/>
  <c r="F21" i="7"/>
  <c r="E21" i="7"/>
  <c r="I21" i="7" s="1"/>
  <c r="F20" i="7"/>
  <c r="E20" i="7"/>
  <c r="I20" i="7"/>
  <c r="E19" i="7"/>
  <c r="I19" i="7"/>
  <c r="F18" i="7"/>
  <c r="E18" i="7"/>
  <c r="I18" i="7" s="1"/>
  <c r="H17" i="7"/>
  <c r="F17" i="7"/>
  <c r="E17" i="7"/>
  <c r="I17" i="7" s="1"/>
  <c r="I16" i="7"/>
  <c r="F15" i="7"/>
  <c r="E15" i="7"/>
  <c r="I15" i="7" s="1"/>
  <c r="F14" i="7"/>
  <c r="E14" i="7"/>
  <c r="I14" i="7"/>
  <c r="F10" i="7"/>
  <c r="E10" i="7"/>
  <c r="I10" i="7" s="1"/>
  <c r="F8" i="7"/>
  <c r="E8" i="7"/>
  <c r="I8" i="7"/>
  <c r="F7" i="7"/>
  <c r="E7" i="7"/>
  <c r="I7" i="7" s="1"/>
  <c r="F6" i="7"/>
  <c r="E6" i="7"/>
  <c r="I6" i="7"/>
  <c r="E5" i="7"/>
  <c r="I5" i="7"/>
  <c r="E4" i="7"/>
  <c r="I4" i="7"/>
  <c r="F3" i="7"/>
  <c r="E3" i="7"/>
  <c r="I3" i="7" s="1"/>
  <c r="K2" i="7"/>
  <c r="E39" i="7" s="1"/>
  <c r="I39" i="7"/>
  <c r="F2" i="7"/>
  <c r="E2" i="7"/>
  <c r="I2" i="7" s="1"/>
  <c r="H17" i="6"/>
  <c r="E43" i="6"/>
  <c r="E42" i="6"/>
  <c r="I42" i="6" s="1"/>
  <c r="I43" i="6"/>
  <c r="E25" i="6"/>
  <c r="I25" i="6"/>
  <c r="E19" i="6"/>
  <c r="I19" i="6"/>
  <c r="I16" i="6"/>
  <c r="E14" i="6"/>
  <c r="I14" i="6" s="1"/>
  <c r="E6" i="6"/>
  <c r="I6" i="6" s="1"/>
  <c r="E2" i="6"/>
  <c r="I2" i="6" s="1"/>
  <c r="F37" i="6"/>
  <c r="E37" i="6"/>
  <c r="I37" i="6"/>
  <c r="F36" i="6"/>
  <c r="E36" i="6"/>
  <c r="I36" i="6" s="1"/>
  <c r="F33" i="6"/>
  <c r="E33" i="6"/>
  <c r="I33" i="6"/>
  <c r="F32" i="6"/>
  <c r="E32" i="6"/>
  <c r="I32" i="6" s="1"/>
  <c r="F30" i="6"/>
  <c r="E30" i="6"/>
  <c r="I30" i="6"/>
  <c r="F29" i="6"/>
  <c r="E29" i="6"/>
  <c r="I29" i="6" s="1"/>
  <c r="E28" i="6"/>
  <c r="I28" i="6" s="1"/>
  <c r="F27" i="6"/>
  <c r="E27" i="6"/>
  <c r="I27" i="6"/>
  <c r="F26" i="6"/>
  <c r="E26" i="6"/>
  <c r="I26" i="6" s="1"/>
  <c r="F25" i="6"/>
  <c r="F24" i="6"/>
  <c r="E24" i="6"/>
  <c r="I24" i="6" s="1"/>
  <c r="F21" i="6"/>
  <c r="E21" i="6"/>
  <c r="I21" i="6"/>
  <c r="F20" i="6"/>
  <c r="E20" i="6"/>
  <c r="I20" i="6" s="1"/>
  <c r="F18" i="6"/>
  <c r="E18" i="6"/>
  <c r="I18" i="6"/>
  <c r="F17" i="6"/>
  <c r="E17" i="6"/>
  <c r="I17" i="6" s="1"/>
  <c r="F15" i="6"/>
  <c r="E15" i="6"/>
  <c r="I15" i="6"/>
  <c r="F14" i="6"/>
  <c r="F10" i="6"/>
  <c r="E10" i="6"/>
  <c r="I10" i="6"/>
  <c r="F8" i="6"/>
  <c r="E8" i="6"/>
  <c r="I8" i="6" s="1"/>
  <c r="F7" i="6"/>
  <c r="E7" i="6"/>
  <c r="I7" i="6"/>
  <c r="F6" i="6"/>
  <c r="E5" i="6"/>
  <c r="I5" i="6" s="1"/>
  <c r="E4" i="6"/>
  <c r="I4" i="6" s="1"/>
  <c r="F3" i="6"/>
  <c r="E3" i="6"/>
  <c r="I3" i="6"/>
  <c r="K2" i="6"/>
  <c r="E39" i="6"/>
  <c r="I39" i="6" s="1"/>
  <c r="F2" i="6"/>
  <c r="F37" i="5"/>
  <c r="E37" i="5"/>
  <c r="F36" i="5"/>
  <c r="E36" i="5"/>
  <c r="F33" i="5"/>
  <c r="E33" i="5"/>
  <c r="F32" i="5"/>
  <c r="E32" i="5"/>
  <c r="F30" i="5"/>
  <c r="E30" i="5"/>
  <c r="F29" i="5"/>
  <c r="E29" i="5"/>
  <c r="F27" i="5"/>
  <c r="E27" i="5"/>
  <c r="F26" i="5"/>
  <c r="E26" i="5"/>
  <c r="F25" i="5"/>
  <c r="E25" i="5"/>
  <c r="F24" i="5"/>
  <c r="E24" i="5"/>
  <c r="F21" i="5"/>
  <c r="E21" i="5"/>
  <c r="F20" i="5"/>
  <c r="E20" i="5"/>
  <c r="F18" i="5"/>
  <c r="E18" i="5"/>
  <c r="F17" i="5"/>
  <c r="E17" i="5"/>
  <c r="F15" i="5"/>
  <c r="E15" i="5"/>
  <c r="F14" i="5"/>
  <c r="E14" i="5"/>
  <c r="F10" i="5"/>
  <c r="E10" i="5"/>
  <c r="F8" i="5"/>
  <c r="E8" i="5"/>
  <c r="F7" i="5"/>
  <c r="E7" i="5"/>
  <c r="F6" i="5"/>
  <c r="E6" i="5"/>
  <c r="F3" i="5"/>
  <c r="E3" i="5"/>
  <c r="F2" i="5"/>
  <c r="E2" i="5"/>
  <c r="E4" i="5"/>
  <c r="E28" i="5"/>
  <c r="E19" i="5"/>
  <c r="E5" i="5"/>
  <c r="I2" i="5"/>
  <c r="E39" i="5"/>
  <c r="H48" i="16"/>
  <c r="N48" i="16"/>
  <c r="H44" i="16"/>
  <c r="I44" i="16"/>
  <c r="J44" i="16" s="1"/>
  <c r="H20" i="16"/>
  <c r="H21" i="16"/>
  <c r="N21" i="16"/>
  <c r="G7" i="2"/>
  <c r="H52" i="16"/>
  <c r="G86" i="2"/>
  <c r="H31" i="16"/>
  <c r="G52" i="2"/>
  <c r="H28" i="16" s="1"/>
  <c r="N28" i="16"/>
  <c r="H11" i="16"/>
  <c r="G20" i="2"/>
  <c r="E9" i="17"/>
  <c r="E40" i="17"/>
  <c r="G40" i="17" s="1"/>
  <c r="F11" i="2"/>
  <c r="E33" i="2"/>
  <c r="E11" i="2"/>
  <c r="F26" i="2"/>
  <c r="E3" i="2"/>
  <c r="E2" i="2"/>
  <c r="E121" i="2"/>
  <c r="E119" i="2" s="1"/>
  <c r="E77" i="2"/>
  <c r="E75" i="2" s="1"/>
  <c r="M64" i="17" s="1"/>
  <c r="F80" i="2"/>
  <c r="E8" i="17"/>
  <c r="G8" i="17" s="1"/>
  <c r="E39" i="17"/>
  <c r="F121" i="2"/>
  <c r="F119" i="2" s="1"/>
  <c r="F32" i="17" s="1"/>
  <c r="G32" i="17" s="1"/>
  <c r="G23" i="2"/>
  <c r="G36" i="2"/>
  <c r="F33" i="2"/>
  <c r="F41" i="2"/>
  <c r="F50" i="2"/>
  <c r="F64" i="2"/>
  <c r="N33" i="17"/>
  <c r="G3" i="2"/>
  <c r="G8" i="2"/>
  <c r="G51" i="2"/>
  <c r="H27" i="16"/>
  <c r="G63" i="2"/>
  <c r="F61" i="2"/>
  <c r="N60" i="17"/>
  <c r="F47" i="2"/>
  <c r="N122" i="17" s="1"/>
  <c r="O122" i="17" s="1"/>
  <c r="F54" i="2"/>
  <c r="N4" i="17" s="1"/>
  <c r="O4" i="17" s="1"/>
  <c r="G6" i="2"/>
  <c r="F81" i="2"/>
  <c r="G121" i="2"/>
  <c r="G43" i="2"/>
  <c r="G42" i="2"/>
  <c r="G60" i="2"/>
  <c r="F103" i="2"/>
  <c r="E34" i="17"/>
  <c r="M122" i="17"/>
  <c r="M6" i="17"/>
  <c r="M10" i="17"/>
  <c r="M8" i="17"/>
  <c r="M63" i="17"/>
  <c r="O63" i="17" s="1"/>
  <c r="E5" i="17"/>
  <c r="E6" i="17"/>
  <c r="E33" i="17"/>
  <c r="E35" i="17"/>
  <c r="E41" i="17"/>
  <c r="E43" i="17"/>
  <c r="E62" i="17"/>
  <c r="M91" i="17"/>
  <c r="E90" i="2"/>
  <c r="M4" i="17"/>
  <c r="M9" i="17"/>
  <c r="O9" i="17" s="1"/>
  <c r="M7" i="17"/>
  <c r="M5" i="17"/>
  <c r="M62" i="17"/>
  <c r="E11" i="17"/>
  <c r="G11" i="17" s="1"/>
  <c r="E36" i="17"/>
  <c r="G36" i="17" s="1"/>
  <c r="E61" i="17"/>
  <c r="M88" i="17"/>
  <c r="G30" i="17"/>
  <c r="G83" i="17"/>
  <c r="O95" i="17"/>
  <c r="O102" i="17"/>
  <c r="G16" i="17"/>
  <c r="G108" i="17"/>
  <c r="G4" i="2"/>
  <c r="G25" i="2"/>
  <c r="G21" i="2"/>
  <c r="G37" i="2"/>
  <c r="H16" i="16"/>
  <c r="N16" i="16" s="1"/>
  <c r="G39" i="2"/>
  <c r="G5" i="2"/>
  <c r="G26" i="2"/>
  <c r="G22" i="2"/>
  <c r="G38" i="2"/>
  <c r="G34" i="2"/>
  <c r="N34" i="17"/>
  <c r="G69" i="2"/>
  <c r="G70" i="2"/>
  <c r="H33" i="16" s="1"/>
  <c r="I33" i="16" s="1"/>
  <c r="J33" i="16" s="1"/>
  <c r="O11" i="17"/>
  <c r="O49" i="17"/>
  <c r="O66" i="17"/>
  <c r="O69" i="17"/>
  <c r="O70" i="17"/>
  <c r="O73" i="17"/>
  <c r="O74" i="17"/>
  <c r="O77" i="17"/>
  <c r="O78" i="17"/>
  <c r="O81" i="17"/>
  <c r="O82" i="17"/>
  <c r="O85" i="17"/>
  <c r="O86" i="17"/>
  <c r="G4" i="17"/>
  <c r="G26" i="17"/>
  <c r="G19" i="17"/>
  <c r="G14" i="17"/>
  <c r="G44" i="17"/>
  <c r="G51" i="17"/>
  <c r="G89" i="17"/>
  <c r="G97" i="17"/>
  <c r="G106" i="17"/>
  <c r="G71" i="17"/>
  <c r="G75" i="17"/>
  <c r="G76" i="17"/>
  <c r="G79" i="17"/>
  <c r="G80" i="17"/>
  <c r="G84" i="17"/>
  <c r="O98" i="17"/>
  <c r="O99" i="17"/>
  <c r="O103" i="17"/>
  <c r="O106" i="17"/>
  <c r="O107" i="17"/>
  <c r="O110" i="17"/>
  <c r="O111" i="17"/>
  <c r="O114" i="17"/>
  <c r="N123" i="17"/>
  <c r="O123" i="17" s="1"/>
  <c r="H18" i="16"/>
  <c r="G83" i="2"/>
  <c r="H15" i="16" s="1"/>
  <c r="N37" i="17"/>
  <c r="G29" i="2"/>
  <c r="I37" i="16"/>
  <c r="J37" i="16"/>
  <c r="G85" i="2"/>
  <c r="G16" i="2"/>
  <c r="L14" i="16"/>
  <c r="G82" i="2"/>
  <c r="H36" i="16" s="1"/>
  <c r="G12" i="2"/>
  <c r="H17" i="16" s="1"/>
  <c r="I49" i="16"/>
  <c r="J49" i="16" s="1"/>
  <c r="G123" i="2"/>
  <c r="G124" i="2" s="1"/>
  <c r="O57" i="17"/>
  <c r="O44" i="17"/>
  <c r="O41" i="17"/>
  <c r="G114" i="2"/>
  <c r="H7" i="16" s="1"/>
  <c r="I7" i="16"/>
  <c r="G115" i="2"/>
  <c r="G113" i="2"/>
  <c r="G116" i="2"/>
  <c r="G117" i="2"/>
  <c r="H43" i="16" s="1"/>
  <c r="N60" i="16"/>
  <c r="G101" i="2"/>
  <c r="H58" i="16"/>
  <c r="I58" i="16" s="1"/>
  <c r="J58" i="16"/>
  <c r="L48" i="16"/>
  <c r="O16" i="17"/>
  <c r="O52" i="17"/>
  <c r="O124" i="17"/>
  <c r="O125" i="17"/>
  <c r="O126" i="17"/>
  <c r="O127" i="17"/>
  <c r="L13" i="16"/>
  <c r="N61" i="16"/>
  <c r="I51" i="16"/>
  <c r="G91" i="2"/>
  <c r="H47" i="16" s="1"/>
  <c r="I12" i="16"/>
  <c r="J12" i="16"/>
  <c r="I59" i="16"/>
  <c r="J59" i="16" s="1"/>
  <c r="N59" i="16" s="1"/>
  <c r="G127" i="2"/>
  <c r="G123" i="17"/>
  <c r="G124" i="17"/>
  <c r="G125" i="17"/>
  <c r="G126" i="17"/>
  <c r="G127" i="17"/>
  <c r="G80" i="2"/>
  <c r="G79" i="2"/>
  <c r="G76" i="2"/>
  <c r="G78" i="2"/>
  <c r="G77" i="2"/>
  <c r="I76" i="16"/>
  <c r="J76" i="16"/>
  <c r="G119" i="17"/>
  <c r="G121" i="17"/>
  <c r="G128" i="17"/>
  <c r="G129" i="17"/>
  <c r="G130" i="17"/>
  <c r="G131" i="17"/>
  <c r="G132" i="17"/>
  <c r="G133" i="17"/>
  <c r="G134" i="17"/>
  <c r="G135" i="17"/>
  <c r="G136" i="17"/>
  <c r="G137" i="17"/>
  <c r="G138" i="17"/>
  <c r="G139" i="17"/>
  <c r="G140" i="17"/>
  <c r="H140" i="17"/>
  <c r="G141" i="17"/>
  <c r="H141" i="17"/>
  <c r="G142" i="17"/>
  <c r="F58" i="2"/>
  <c r="N32" i="17" s="1"/>
  <c r="O32" i="17"/>
  <c r="G118" i="17"/>
  <c r="G120" i="17"/>
  <c r="O96" i="17"/>
  <c r="O97" i="17"/>
  <c r="O100" i="17"/>
  <c r="O101" i="17"/>
  <c r="O104" i="17"/>
  <c r="O105" i="17"/>
  <c r="O108" i="17"/>
  <c r="O109" i="17"/>
  <c r="O112" i="17"/>
  <c r="O113" i="17"/>
  <c r="G116" i="17"/>
  <c r="G117" i="17"/>
  <c r="F115" i="17"/>
  <c r="I48" i="16"/>
  <c r="J48" i="16" s="1"/>
  <c r="I43" i="16"/>
  <c r="N43" i="16" s="1"/>
  <c r="O27" i="17"/>
  <c r="O24" i="17"/>
  <c r="O19" i="17"/>
  <c r="O67" i="17"/>
  <c r="O68" i="17"/>
  <c r="O71" i="17"/>
  <c r="O72" i="17"/>
  <c r="O75" i="17"/>
  <c r="O76" i="17"/>
  <c r="O79" i="17"/>
  <c r="O80" i="17"/>
  <c r="O83" i="17"/>
  <c r="O84" i="17"/>
  <c r="L11" i="16"/>
  <c r="N11" i="16"/>
  <c r="L77" i="16"/>
  <c r="N77" i="16"/>
  <c r="I40" i="16"/>
  <c r="J40" i="16"/>
  <c r="N40" i="16"/>
  <c r="I35" i="16"/>
  <c r="J35" i="16" s="1"/>
  <c r="N35" i="16"/>
  <c r="I30" i="16"/>
  <c r="J30" i="16"/>
  <c r="N30" i="16"/>
  <c r="I57" i="16"/>
  <c r="J57" i="16" s="1"/>
  <c r="N57" i="16"/>
  <c r="L44" i="16"/>
  <c r="N44" i="16"/>
  <c r="L68" i="16"/>
  <c r="N68" i="16"/>
  <c r="I77" i="16"/>
  <c r="J77" i="16"/>
  <c r="I65" i="16"/>
  <c r="J65" i="16"/>
  <c r="L76" i="16"/>
  <c r="L12" i="16"/>
  <c r="L37" i="16"/>
  <c r="I34" i="16"/>
  <c r="J34" i="16" s="1"/>
  <c r="I25" i="16"/>
  <c r="J25" i="16"/>
  <c r="L30" i="16"/>
  <c r="I14" i="16"/>
  <c r="J14" i="16" s="1"/>
  <c r="I13" i="16"/>
  <c r="J13" i="16" s="1"/>
  <c r="L25" i="16"/>
  <c r="O142" i="17"/>
  <c r="G25" i="17"/>
  <c r="G53" i="17"/>
  <c r="G91" i="17"/>
  <c r="G99" i="17"/>
  <c r="G109" i="17"/>
  <c r="G69" i="17"/>
  <c r="G73" i="17"/>
  <c r="G74" i="17"/>
  <c r="G77" i="17"/>
  <c r="G78" i="17"/>
  <c r="G81" i="17"/>
  <c r="G82" i="17"/>
  <c r="G85" i="17"/>
  <c r="G86" i="17"/>
  <c r="I38" i="16"/>
  <c r="J38" i="16" s="1"/>
  <c r="I21" i="16"/>
  <c r="J21" i="16" s="1"/>
  <c r="L21" i="16"/>
  <c r="I11" i="16"/>
  <c r="J11" i="16" s="1"/>
  <c r="L39" i="16"/>
  <c r="L38" i="16"/>
  <c r="L41" i="16"/>
  <c r="I41" i="16"/>
  <c r="J41" i="16"/>
  <c r="I42" i="16"/>
  <c r="J42" i="16"/>
  <c r="L42" i="16"/>
  <c r="L34" i="16"/>
  <c r="I68" i="16"/>
  <c r="J68" i="16"/>
  <c r="O30" i="17"/>
  <c r="O29" i="17"/>
  <c r="O28" i="17"/>
  <c r="O26" i="17"/>
  <c r="O25" i="17"/>
  <c r="O23" i="17"/>
  <c r="O22" i="17"/>
  <c r="O21" i="17"/>
  <c r="O20" i="17"/>
  <c r="O18" i="17"/>
  <c r="O17" i="17"/>
  <c r="O15" i="17"/>
  <c r="O14" i="17"/>
  <c r="O13" i="17"/>
  <c r="O12" i="17"/>
  <c r="O58" i="17"/>
  <c r="O56" i="17"/>
  <c r="O55" i="17"/>
  <c r="O54" i="17"/>
  <c r="O53" i="17"/>
  <c r="O51" i="17"/>
  <c r="O50" i="17"/>
  <c r="O48" i="17"/>
  <c r="O47" i="17"/>
  <c r="O46" i="17"/>
  <c r="O45" i="17"/>
  <c r="O43" i="17"/>
  <c r="O42" i="17"/>
  <c r="O40" i="17"/>
  <c r="O39" i="17"/>
  <c r="O38" i="17"/>
  <c r="F10" i="2"/>
  <c r="G122" i="17"/>
  <c r="O128" i="17"/>
  <c r="O129" i="17"/>
  <c r="O130" i="17"/>
  <c r="O131" i="17"/>
  <c r="O132" i="17"/>
  <c r="O133" i="17"/>
  <c r="O134" i="17"/>
  <c r="O135" i="17"/>
  <c r="O136" i="17"/>
  <c r="O137" i="17"/>
  <c r="O138" i="17"/>
  <c r="O139" i="17"/>
  <c r="O140" i="17"/>
  <c r="O141" i="17"/>
  <c r="F63" i="17"/>
  <c r="F60" i="17"/>
  <c r="F37" i="17"/>
  <c r="F7" i="17"/>
  <c r="F64" i="17"/>
  <c r="F38" i="17"/>
  <c r="G38" i="17"/>
  <c r="F8" i="17"/>
  <c r="F66" i="17"/>
  <c r="F40" i="17"/>
  <c r="F10" i="17"/>
  <c r="N119" i="17"/>
  <c r="F68" i="17"/>
  <c r="N35" i="17"/>
  <c r="F42" i="17"/>
  <c r="F12" i="17"/>
  <c r="N121" i="17"/>
  <c r="F67" i="17"/>
  <c r="N93" i="17"/>
  <c r="F41" i="17"/>
  <c r="G41" i="17" s="1"/>
  <c r="F11" i="17"/>
  <c r="N65" i="17"/>
  <c r="F65" i="17"/>
  <c r="G65" i="17"/>
  <c r="F39" i="17"/>
  <c r="F9" i="17"/>
  <c r="G9" i="17" s="1"/>
  <c r="F62" i="17"/>
  <c r="N62" i="17"/>
  <c r="N90" i="17"/>
  <c r="O90" i="17" s="1"/>
  <c r="F6" i="17"/>
  <c r="G6" i="17" s="1"/>
  <c r="F33" i="17"/>
  <c r="G33" i="17" s="1"/>
  <c r="N91" i="17"/>
  <c r="N63" i="17"/>
  <c r="N92" i="17"/>
  <c r="F35" i="17"/>
  <c r="G35" i="17" s="1"/>
  <c r="N8" i="17"/>
  <c r="E115" i="17"/>
  <c r="G115" i="17" s="1"/>
  <c r="G39" i="17"/>
  <c r="O33" i="17"/>
  <c r="N47" i="16"/>
  <c r="L58" i="16"/>
  <c r="N55" i="16"/>
  <c r="G57" i="2"/>
  <c r="L54" i="16"/>
  <c r="H22" i="16"/>
  <c r="I22" i="16" s="1"/>
  <c r="O8" i="17"/>
  <c r="G62" i="17"/>
  <c r="M3" i="17"/>
  <c r="L7" i="16"/>
  <c r="I16" i="16"/>
  <c r="J16" i="16" s="1"/>
  <c r="L59" i="16"/>
  <c r="J46" i="16"/>
  <c r="N51" i="16"/>
  <c r="F88" i="17"/>
  <c r="O91" i="17"/>
  <c r="G68" i="17"/>
  <c r="N89" i="17"/>
  <c r="I60" i="16"/>
  <c r="J60" i="16" s="1"/>
  <c r="L16" i="16"/>
  <c r="I61" i="16"/>
  <c r="J61" i="16" s="1"/>
  <c r="I54" i="16"/>
  <c r="J54" i="16" s="1"/>
  <c r="I36" i="16"/>
  <c r="J36" i="16" s="1"/>
  <c r="L33" i="16"/>
  <c r="E88" i="17"/>
  <c r="E87" i="17"/>
  <c r="E32" i="17"/>
  <c r="I17" i="16"/>
  <c r="J17" i="16" s="1"/>
  <c r="H9" i="16"/>
  <c r="N9" i="16" s="1"/>
  <c r="N61" i="17"/>
  <c r="N117" i="17"/>
  <c r="N58" i="16"/>
  <c r="L18" i="16"/>
  <c r="H63" i="16"/>
  <c r="J22" i="16"/>
  <c r="L22" i="16" s="1"/>
  <c r="H50" i="16"/>
  <c r="I15" i="16"/>
  <c r="J15" i="16" s="1"/>
  <c r="N5" i="17"/>
  <c r="L29" i="16"/>
  <c r="N88" i="17"/>
  <c r="O88" i="17"/>
  <c r="L43" i="16"/>
  <c r="N116" i="17"/>
  <c r="O116" i="17"/>
  <c r="N49" i="16"/>
  <c r="L49" i="16"/>
  <c r="J43" i="16"/>
  <c r="L65" i="16"/>
  <c r="N65" i="16"/>
  <c r="F34" i="17"/>
  <c r="G34" i="17" s="1"/>
  <c r="N6" i="17"/>
  <c r="O6" i="17" s="1"/>
  <c r="O62" i="17"/>
  <c r="I55" i="16"/>
  <c r="J55" i="16"/>
  <c r="L55" i="16"/>
  <c r="N56" i="16"/>
  <c r="N54" i="16"/>
  <c r="I9" i="16"/>
  <c r="J9" i="16" s="1"/>
  <c r="N22" i="16"/>
  <c r="L9" i="16"/>
  <c r="N29" i="16"/>
  <c r="I63" i="16"/>
  <c r="J63" i="16" s="1"/>
  <c r="I62" i="16"/>
  <c r="J62" i="16" s="1"/>
  <c r="L62" i="16"/>
  <c r="N62" i="16"/>
  <c r="F54" i="3"/>
  <c r="I29" i="16"/>
  <c r="J29" i="16"/>
  <c r="D53" i="3"/>
  <c r="D50" i="3"/>
  <c r="D56" i="3"/>
  <c r="L56" i="16"/>
  <c r="I56" i="16"/>
  <c r="J56" i="16" s="1"/>
  <c r="F51" i="3"/>
  <c r="F56" i="3"/>
  <c r="F55" i="3"/>
  <c r="F50" i="3"/>
  <c r="F53" i="3"/>
  <c r="D51" i="3"/>
  <c r="D57" i="3"/>
  <c r="D54" i="3"/>
  <c r="F52" i="3"/>
  <c r="F57" i="3"/>
  <c r="D55" i="3"/>
  <c r="D52" i="3"/>
  <c r="G9" i="18" l="1"/>
  <c r="O5" i="17"/>
  <c r="L63" i="16"/>
  <c r="N63" i="16"/>
  <c r="O117" i="17"/>
  <c r="O121" i="17"/>
  <c r="N36" i="16"/>
  <c r="L36" i="16"/>
  <c r="N33" i="16"/>
  <c r="M120" i="17"/>
  <c r="E13" i="17"/>
  <c r="M36" i="17"/>
  <c r="H19" i="16"/>
  <c r="I19" i="16" s="1"/>
  <c r="J19" i="16" s="1"/>
  <c r="N46" i="16"/>
  <c r="L46" i="16"/>
  <c r="L50" i="16"/>
  <c r="N50" i="16"/>
  <c r="I50" i="16"/>
  <c r="J50" i="16" s="1"/>
  <c r="O61" i="17"/>
  <c r="F87" i="17"/>
  <c r="G87" i="17" s="1"/>
  <c r="G88" i="17"/>
  <c r="G63" i="17"/>
  <c r="I47" i="16"/>
  <c r="J47" i="16" s="1"/>
  <c r="L47" i="16"/>
  <c r="L51" i="16"/>
  <c r="J51" i="16"/>
  <c r="N7" i="16"/>
  <c r="J7" i="16"/>
  <c r="N17" i="16"/>
  <c r="L17" i="16"/>
  <c r="N15" i="16"/>
  <c r="L15" i="16"/>
  <c r="N94" i="17"/>
  <c r="O94" i="17" s="1"/>
  <c r="F43" i="17"/>
  <c r="N10" i="17"/>
  <c r="O10" i="17" s="1"/>
  <c r="N27" i="16"/>
  <c r="L27" i="16"/>
  <c r="I27" i="16"/>
  <c r="J27" i="16" s="1"/>
  <c r="H6" i="16"/>
  <c r="L31" i="16"/>
  <c r="I31" i="16"/>
  <c r="J31" i="16" s="1"/>
  <c r="N31" i="16"/>
  <c r="L52" i="16"/>
  <c r="I52" i="16"/>
  <c r="J52" i="16" s="1"/>
  <c r="N52" i="16"/>
  <c r="N20" i="16"/>
  <c r="L20" i="16"/>
  <c r="I20" i="16"/>
  <c r="J20" i="16" s="1"/>
  <c r="N26" i="16"/>
  <c r="L26" i="16"/>
  <c r="I26" i="16"/>
  <c r="J26" i="16" s="1"/>
  <c r="N24" i="16"/>
  <c r="I24" i="16"/>
  <c r="J24" i="16" s="1"/>
  <c r="L24" i="16"/>
  <c r="O92" i="17"/>
  <c r="G94" i="2"/>
  <c r="H45" i="16" s="1"/>
  <c r="I45" i="16" s="1"/>
  <c r="J45" i="16" s="1"/>
  <c r="N18" i="16"/>
  <c r="I18" i="16"/>
  <c r="J18" i="16" s="1"/>
  <c r="H3" i="16"/>
  <c r="M35" i="17"/>
  <c r="O35" i="17" s="1"/>
  <c r="M119" i="17"/>
  <c r="O119" i="17" s="1"/>
  <c r="M34" i="17"/>
  <c r="O34" i="17" s="1"/>
  <c r="O60" i="17"/>
  <c r="L28" i="16"/>
  <c r="I28" i="16"/>
  <c r="J28" i="16" s="1"/>
  <c r="N7" i="17"/>
  <c r="O7" i="17" s="1"/>
  <c r="N118" i="17"/>
  <c r="F61" i="17"/>
  <c r="F5" i="17"/>
  <c r="E67" i="17"/>
  <c r="G67" i="17" s="1"/>
  <c r="M65" i="17"/>
  <c r="O65" i="17" s="1"/>
  <c r="M93" i="17"/>
  <c r="O93" i="17" s="1"/>
  <c r="M121" i="17"/>
  <c r="M37" i="17"/>
  <c r="O37" i="17" s="1"/>
  <c r="E30" i="2"/>
  <c r="E26" i="2"/>
  <c r="E19" i="2" s="1"/>
  <c r="E17" i="2"/>
  <c r="E10" i="2" s="1"/>
  <c r="K3" i="2"/>
  <c r="F19" i="2"/>
  <c r="M59" i="17"/>
  <c r="G92" i="2"/>
  <c r="H2" i="16" s="1"/>
  <c r="I2" i="16" s="1"/>
  <c r="J2" i="16" s="1"/>
  <c r="G93" i="2"/>
  <c r="H23" i="16" s="1"/>
  <c r="I23" i="16" s="1"/>
  <c r="J23" i="16" s="1"/>
  <c r="G17" i="2"/>
  <c r="G11" i="2"/>
  <c r="H8" i="16" s="1"/>
  <c r="I8" i="16" s="1"/>
  <c r="G14" i="2"/>
  <c r="H32" i="16" s="1"/>
  <c r="G15" i="2"/>
  <c r="H5" i="16" s="1"/>
  <c r="G31" i="2"/>
  <c r="G30" i="2"/>
  <c r="N39" i="16"/>
  <c r="J39" i="16"/>
  <c r="E42" i="17"/>
  <c r="G42" i="17" s="1"/>
  <c r="E12" i="17"/>
  <c r="G12" i="17" s="1"/>
  <c r="E63" i="17"/>
  <c r="E37" i="17"/>
  <c r="E7" i="17"/>
  <c r="M61" i="17"/>
  <c r="M89" i="17"/>
  <c r="M87" i="17" s="1"/>
  <c r="M117" i="17"/>
  <c r="M115" i="17" s="1"/>
  <c r="F77" i="2"/>
  <c r="F75" i="2" s="1"/>
  <c r="N64" i="17" s="1"/>
  <c r="O64" i="17" s="1"/>
  <c r="F30" i="2"/>
  <c r="F28" i="2" s="1"/>
  <c r="E10" i="17"/>
  <c r="G10" i="17" s="1"/>
  <c r="E66" i="17"/>
  <c r="G66" i="17" s="1"/>
  <c r="F90" i="2"/>
  <c r="J3" i="2"/>
  <c r="J4" i="2" s="1"/>
  <c r="E72" i="17"/>
  <c r="G72" i="17" s="1"/>
  <c r="E45" i="17"/>
  <c r="G45" i="17" s="1"/>
  <c r="E15" i="17"/>
  <c r="G15" i="17" s="1"/>
  <c r="G141" i="2"/>
  <c r="G142" i="2" s="1"/>
  <c r="H67" i="16" s="1"/>
  <c r="H60" i="17"/>
  <c r="H7" i="17"/>
  <c r="H71" i="17"/>
  <c r="H14" i="17"/>
  <c r="G109" i="2"/>
  <c r="H53" i="16" s="1"/>
  <c r="I53" i="16" s="1"/>
  <c r="G105" i="2"/>
  <c r="G106" i="2"/>
  <c r="I75" i="16"/>
  <c r="J75" i="16" s="1"/>
  <c r="I5" i="16" l="1"/>
  <c r="J5" i="16" s="1"/>
  <c r="L5" i="16"/>
  <c r="N5" i="16"/>
  <c r="L53" i="16"/>
  <c r="J53" i="16"/>
  <c r="N53" i="16"/>
  <c r="G138" i="2"/>
  <c r="G139" i="2" s="1"/>
  <c r="H66" i="16" s="1"/>
  <c r="G129" i="2"/>
  <c r="G130" i="2" s="1"/>
  <c r="H64" i="16" s="1"/>
  <c r="H84" i="16"/>
  <c r="I67" i="16"/>
  <c r="J67" i="16" s="1"/>
  <c r="L67" i="16"/>
  <c r="N67" i="16"/>
  <c r="J5" i="2"/>
  <c r="G7" i="17"/>
  <c r="E3" i="17"/>
  <c r="E59" i="17"/>
  <c r="H4" i="16"/>
  <c r="I4" i="16" s="1"/>
  <c r="I32" i="16"/>
  <c r="J32" i="16" s="1"/>
  <c r="L32" i="16"/>
  <c r="N32" i="16"/>
  <c r="H10" i="16"/>
  <c r="I10" i="16" s="1"/>
  <c r="N2" i="16"/>
  <c r="L2" i="16"/>
  <c r="G5" i="17"/>
  <c r="O118" i="17"/>
  <c r="N3" i="16"/>
  <c r="L3" i="16"/>
  <c r="I3" i="16"/>
  <c r="J3" i="16" s="1"/>
  <c r="I6" i="16"/>
  <c r="J6" i="16" s="1"/>
  <c r="L6" i="16"/>
  <c r="N6" i="16"/>
  <c r="F31" i="17"/>
  <c r="G43" i="17"/>
  <c r="N87" i="17"/>
  <c r="N59" i="17"/>
  <c r="N3" i="17"/>
  <c r="N36" i="17"/>
  <c r="F13" i="17"/>
  <c r="G13" i="17" s="1"/>
  <c r="N120" i="17"/>
  <c r="O120" i="17" s="1"/>
  <c r="E31" i="17"/>
  <c r="G37" i="17"/>
  <c r="J8" i="16"/>
  <c r="L8" i="16"/>
  <c r="N8" i="16"/>
  <c r="L23" i="16"/>
  <c r="N23" i="16"/>
  <c r="K4" i="2"/>
  <c r="G61" i="17"/>
  <c r="F59" i="17"/>
  <c r="M31" i="17"/>
  <c r="L45" i="16"/>
  <c r="N45" i="16"/>
  <c r="O89" i="17"/>
  <c r="L19" i="16"/>
  <c r="N19" i="16"/>
  <c r="F8" i="3" l="1"/>
  <c r="F28" i="3"/>
  <c r="F48" i="3"/>
  <c r="F13" i="3"/>
  <c r="F33" i="3"/>
  <c r="F18" i="3"/>
  <c r="F3" i="3"/>
  <c r="F43" i="3"/>
  <c r="O3" i="17"/>
  <c r="F38" i="3"/>
  <c r="F23" i="3"/>
  <c r="F46" i="3"/>
  <c r="F11" i="3"/>
  <c r="F21" i="3"/>
  <c r="F36" i="3"/>
  <c r="F16" i="3"/>
  <c r="F31" i="3"/>
  <c r="O87" i="17"/>
  <c r="F26" i="3"/>
  <c r="F41" i="3"/>
  <c r="F6" i="3"/>
  <c r="D7" i="3"/>
  <c r="D19" i="3"/>
  <c r="D31" i="3"/>
  <c r="D43" i="3"/>
  <c r="D10" i="3"/>
  <c r="D22" i="3"/>
  <c r="D34" i="3"/>
  <c r="D46" i="3"/>
  <c r="G31" i="17"/>
  <c r="D13" i="3"/>
  <c r="D25" i="3"/>
  <c r="D37" i="3"/>
  <c r="D49" i="3"/>
  <c r="D4" i="3"/>
  <c r="D16" i="3"/>
  <c r="D28" i="3"/>
  <c r="D40" i="3"/>
  <c r="N115" i="17"/>
  <c r="K5" i="2"/>
  <c r="I66" i="16"/>
  <c r="J66" i="16" s="1"/>
  <c r="L66" i="16"/>
  <c r="N66" i="16"/>
  <c r="G59" i="17"/>
  <c r="D11" i="3"/>
  <c r="D23" i="3"/>
  <c r="D35" i="3"/>
  <c r="D47" i="3"/>
  <c r="D8" i="3"/>
  <c r="D20" i="3"/>
  <c r="D32" i="3"/>
  <c r="D44" i="3"/>
  <c r="D17" i="3"/>
  <c r="D41" i="3"/>
  <c r="D14" i="3"/>
  <c r="D38" i="3"/>
  <c r="D5" i="3"/>
  <c r="D29" i="3"/>
  <c r="D26" i="3"/>
  <c r="K6" i="2"/>
  <c r="O36" i="17"/>
  <c r="N31" i="17"/>
  <c r="J6" i="2"/>
  <c r="F25" i="3"/>
  <c r="F45" i="3"/>
  <c r="F20" i="3"/>
  <c r="F35" i="3"/>
  <c r="F10" i="3"/>
  <c r="O59" i="17"/>
  <c r="F5" i="3"/>
  <c r="F15" i="3"/>
  <c r="F30" i="3"/>
  <c r="F40" i="3"/>
  <c r="F3" i="17"/>
  <c r="N10" i="16"/>
  <c r="J10" i="16"/>
  <c r="L10" i="16"/>
  <c r="N4" i="16"/>
  <c r="J4" i="16"/>
  <c r="L4" i="16"/>
  <c r="I64" i="16"/>
  <c r="J64" i="16" s="1"/>
  <c r="L64" i="16"/>
  <c r="N64" i="16"/>
  <c r="J7" i="2"/>
  <c r="J8" i="2" l="1"/>
  <c r="D9" i="3"/>
  <c r="G3" i="17"/>
  <c r="D21" i="3"/>
  <c r="D33" i="3"/>
  <c r="D45" i="3"/>
  <c r="D12" i="3"/>
  <c r="D24" i="3"/>
  <c r="D36" i="3"/>
  <c r="D48" i="3"/>
  <c r="D3" i="3"/>
  <c r="D15" i="3"/>
  <c r="D27" i="3"/>
  <c r="D39" i="3"/>
  <c r="D6" i="3"/>
  <c r="D18" i="3"/>
  <c r="D30" i="3"/>
  <c r="D42" i="3"/>
  <c r="O31" i="17"/>
  <c r="F14" i="3"/>
  <c r="F34" i="3"/>
  <c r="F19" i="3"/>
  <c r="F39" i="3"/>
  <c r="F4" i="3"/>
  <c r="F44" i="3"/>
  <c r="F9" i="3"/>
  <c r="F49" i="3"/>
  <c r="F24" i="3"/>
  <c r="F29" i="3"/>
  <c r="F12" i="3"/>
  <c r="F32" i="3"/>
  <c r="F17" i="3"/>
  <c r="F37" i="3"/>
  <c r="O115" i="17"/>
  <c r="F22" i="3"/>
  <c r="F42" i="3"/>
  <c r="F7" i="3"/>
  <c r="F27" i="3"/>
  <c r="F47" i="3"/>
  <c r="K7" i="2"/>
  <c r="J9" i="2" l="1"/>
  <c r="K8" i="2"/>
  <c r="K9" i="2"/>
  <c r="K10" i="2" s="1"/>
  <c r="K11" i="2" s="1"/>
  <c r="J10" i="2" l="1"/>
  <c r="K12" i="2"/>
  <c r="K13" i="2" l="1"/>
  <c r="J11" i="2"/>
  <c r="J12" i="2" l="1"/>
  <c r="J13" i="2" s="1"/>
  <c r="J14" i="2" s="1"/>
  <c r="J15" i="2" s="1"/>
  <c r="J16" i="2" s="1"/>
  <c r="J17" i="2" s="1"/>
  <c r="J18" i="2" s="1"/>
  <c r="K14" i="2"/>
  <c r="K15" i="2"/>
  <c r="K16" i="2" s="1"/>
  <c r="K17" i="2" s="1"/>
  <c r="K18" i="2" s="1"/>
  <c r="K19" i="2" s="1"/>
  <c r="K20" i="2" s="1"/>
  <c r="K21" i="2" s="1"/>
  <c r="K22" i="2" s="1"/>
  <c r="K23" i="2" s="1"/>
  <c r="K24" i="2" s="1"/>
  <c r="K25" i="2" s="1"/>
  <c r="K26" i="2" s="1"/>
  <c r="K27" i="2" s="1"/>
  <c r="K28" i="2" s="1"/>
  <c r="K29" i="2" s="1"/>
  <c r="K30" i="2" s="1"/>
  <c r="K31" i="2" s="1"/>
  <c r="K32" i="2" s="1"/>
  <c r="K33" i="2" s="1"/>
  <c r="K34" i="2" s="1"/>
  <c r="K35" i="2" s="1"/>
  <c r="K36" i="2" s="1"/>
  <c r="K37" i="2" s="1"/>
  <c r="K38" i="2" s="1"/>
  <c r="K39" i="2" s="1"/>
  <c r="K40" i="2" s="1"/>
  <c r="K41" i="2" s="1"/>
  <c r="K42" i="2" s="1"/>
  <c r="K43" i="2" s="1"/>
  <c r="K44" i="2" s="1"/>
  <c r="K45" i="2" s="1"/>
  <c r="K46" i="2" s="1"/>
  <c r="K47" i="2" s="1"/>
  <c r="K48" i="2" s="1"/>
  <c r="K49" i="2" s="1"/>
  <c r="K50" i="2" s="1"/>
  <c r="K51" i="2" s="1"/>
  <c r="K52" i="2" s="1"/>
  <c r="K53" i="2" s="1"/>
  <c r="K54" i="2" s="1"/>
  <c r="K55" i="2" s="1"/>
  <c r="K57" i="2" s="1"/>
  <c r="K58" i="2" s="1"/>
  <c r="K59" i="2" s="1"/>
  <c r="K60" i="2" s="1"/>
  <c r="K61" i="2" s="1"/>
  <c r="K62" i="2" s="1"/>
  <c r="K63" i="2" s="1"/>
  <c r="K64" i="2" s="1"/>
  <c r="K65" i="2" s="1"/>
  <c r="K66" i="2" s="1"/>
  <c r="K67" i="2" s="1"/>
  <c r="K68" i="2" s="1"/>
  <c r="K69" i="2" s="1"/>
  <c r="K70" i="2" s="1"/>
  <c r="K71" i="2" s="1"/>
  <c r="K72" i="2" s="1"/>
  <c r="K73" i="2" s="1"/>
  <c r="K74" i="2" s="1"/>
  <c r="K75" i="2" s="1"/>
  <c r="K76" i="2" s="1"/>
  <c r="K77" i="2" s="1"/>
  <c r="K78" i="2" s="1"/>
  <c r="K79" i="2" s="1"/>
  <c r="K80" i="2" s="1"/>
  <c r="K81" i="2" s="1"/>
  <c r="K82" i="2" s="1"/>
  <c r="K83" i="2" s="1"/>
  <c r="K84" i="2" s="1"/>
  <c r="K85" i="2" s="1"/>
  <c r="K86" i="2" s="1"/>
  <c r="K87" i="2" s="1"/>
  <c r="K88" i="2" s="1"/>
  <c r="K89" i="2" s="1"/>
  <c r="J19" i="2" l="1"/>
  <c r="J20" i="2" s="1"/>
  <c r="J21" i="2" s="1"/>
  <c r="J22" i="2" s="1"/>
  <c r="J23" i="2" s="1"/>
  <c r="J24" i="2" s="1"/>
  <c r="J25" i="2" s="1"/>
  <c r="J26" i="2" s="1"/>
  <c r="J27" i="2" s="1"/>
  <c r="J28" i="2" s="1"/>
  <c r="J29" i="2" s="1"/>
  <c r="J30" i="2" s="1"/>
  <c r="J31" i="2" s="1"/>
  <c r="J32" i="2" s="1"/>
  <c r="J33" i="2" s="1"/>
  <c r="J34" i="2" s="1"/>
  <c r="J35" i="2" s="1"/>
  <c r="J36" i="2" s="1"/>
  <c r="J37" i="2" s="1"/>
  <c r="J38" i="2" s="1"/>
  <c r="J39" i="2" s="1"/>
  <c r="J40" i="2" s="1"/>
  <c r="J41" i="2" s="1"/>
  <c r="J42" i="2" s="1"/>
  <c r="J43" i="2" s="1"/>
  <c r="J44" i="2" s="1"/>
  <c r="J45" i="2" s="1"/>
  <c r="J46" i="2" s="1"/>
  <c r="J47" i="2" s="1"/>
  <c r="J48" i="2" s="1"/>
  <c r="J49" i="2" s="1"/>
  <c r="J50" i="2" s="1"/>
  <c r="J51" i="2" s="1"/>
  <c r="J52" i="2" s="1"/>
  <c r="J53" i="2" s="1"/>
  <c r="J54" i="2" s="1"/>
  <c r="J55" i="2" s="1"/>
  <c r="J57" i="2" s="1"/>
  <c r="J58" i="2" s="1"/>
  <c r="J59" i="2" s="1"/>
  <c r="J60" i="2" s="1"/>
  <c r="J61" i="2" s="1"/>
  <c r="J62" i="2" s="1"/>
  <c r="J63" i="2" s="1"/>
  <c r="J64" i="2" s="1"/>
  <c r="J65" i="2" s="1"/>
  <c r="J66" i="2" s="1"/>
  <c r="J67" i="2" s="1"/>
  <c r="J68" i="2" s="1"/>
  <c r="J69" i="2" s="1"/>
  <c r="J70" i="2" s="1"/>
  <c r="J71" i="2" s="1"/>
  <c r="J72" i="2" s="1"/>
  <c r="J73" i="2" s="1"/>
  <c r="J74" i="2" s="1"/>
  <c r="J75" i="2" s="1"/>
  <c r="J76" i="2" s="1"/>
  <c r="J77" i="2" s="1"/>
  <c r="J78" i="2" s="1"/>
  <c r="J79" i="2" s="1"/>
  <c r="J80" i="2" s="1"/>
  <c r="J81" i="2" s="1"/>
  <c r="J82" i="2" s="1"/>
  <c r="J83" i="2" s="1"/>
  <c r="J84" i="2" s="1"/>
  <c r="J85" i="2" s="1"/>
  <c r="J86" i="2" s="1"/>
  <c r="J87" i="2" s="1"/>
  <c r="J88" i="2" s="1"/>
  <c r="J89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K1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If you buy in mass, write here as g or kg. If you use original units write those.</t>
        </r>
      </text>
    </comment>
    <comment ref="B10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table spoons</t>
        </r>
      </text>
    </comment>
    <comment ref="G14" authorId="0" shapeId="0" xr:uid="{00000000-0006-0000-0100-000003000000}">
      <text>
        <r>
          <rPr>
            <sz val="11"/>
            <color theme="1"/>
            <rFont val="Calibri"/>
            <family val="2"/>
            <scheme val="minor"/>
          </rPr>
          <t>230 calories for 9 pieces. Assume 9 pieces is roughly 1 cup.</t>
        </r>
      </text>
    </comment>
    <comment ref="G17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Good stuff is 240 calories, but the maple stuff is only 200</t>
        </r>
      </text>
    </comment>
    <comment ref="G20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125 calories per .3 cup
.06 tablespoon per cup</t>
        </r>
      </text>
    </comment>
    <comment ref="G23" authorId="0" shapeId="0" xr:uid="{00000000-0006-0000-0100-000006000000}">
      <text>
        <r>
          <rPr>
            <sz val="11"/>
            <color theme="1"/>
            <rFont val="Calibri"/>
            <family val="2"/>
            <scheme val="minor"/>
          </rPr>
          <t>40 calories per cubic inch of parmasan. High in calcium, has some fat and protein</t>
        </r>
      </text>
    </comment>
    <comment ref="G27" authorId="0" shapeId="0" xr:uid="{00000000-0006-0000-0100-000007000000}">
      <text>
        <r>
          <rPr>
            <sz val="11"/>
            <color theme="1"/>
            <rFont val="Calibri"/>
            <family val="2"/>
            <scheme val="minor"/>
          </rPr>
          <t>CRUSHED. Need to weigh a cup of uncrushed chips.</t>
        </r>
      </text>
    </comment>
    <comment ref="G37" authorId="0" shapeId="0" xr:uid="{00000000-0006-0000-0100-000008000000}">
      <text>
        <r>
          <rPr>
            <sz val="11"/>
            <color theme="1"/>
            <rFont val="Calibri"/>
            <family val="2"/>
            <scheme val="minor"/>
          </rPr>
          <t xml:space="preserve">Reasonably high in potatssium and has some vitamin c
</t>
        </r>
      </text>
    </comment>
    <comment ref="G41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11 g of protein. 2x more than the chicken per mass.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9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Assumed 1/2 pack from existing package we have.</t>
        </r>
      </text>
    </comment>
    <comment ref="C14" authorId="0" shapeId="0" xr:uid="{00000000-0006-0000-0600-000002000000}">
      <text>
        <r>
          <rPr>
            <sz val="11"/>
            <color theme="1"/>
            <rFont val="Calibri"/>
            <family val="2"/>
            <scheme val="minor"/>
          </rPr>
          <t>230 calories for 9 pieces. Assume 9 pieces is roughly 1 cup.</t>
        </r>
      </text>
    </comment>
    <comment ref="C20" authorId="0" shapeId="0" xr:uid="{00000000-0006-0000-0600-000003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125 calories per .3 cup
.06 tablespoon per cup</t>
        </r>
      </text>
    </comment>
    <comment ref="C23" authorId="0" shapeId="0" xr:uid="{00000000-0006-0000-0600-000004000000}">
      <text>
        <r>
          <rPr>
            <sz val="11"/>
            <color theme="1"/>
            <rFont val="Calibri"/>
            <family val="2"/>
            <scheme val="minor"/>
          </rPr>
          <t>40 calories per cubic inch of parmasan. High in calcium, has some fat and protein</t>
        </r>
      </text>
    </comment>
    <comment ref="C27" authorId="0" shapeId="0" xr:uid="{00000000-0006-0000-0600-000005000000}">
      <text>
        <r>
          <rPr>
            <sz val="11"/>
            <color theme="1"/>
            <rFont val="Calibri"/>
            <family val="2"/>
            <scheme val="minor"/>
          </rPr>
          <t>CRUSHED. Need to weigh a cup of uncrushed chips.</t>
        </r>
      </text>
    </comment>
    <comment ref="C37" authorId="0" shapeId="0" xr:uid="{00000000-0006-0000-0600-000006000000}">
      <text>
        <r>
          <rPr>
            <sz val="11"/>
            <color theme="1"/>
            <rFont val="Calibri"/>
            <family val="2"/>
            <scheme val="minor"/>
          </rPr>
          <t xml:space="preserve">Reasonably high in potatssium and has some vitamin c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9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Assumed 1/2 pack from existing package we have.</t>
        </r>
      </text>
    </comment>
    <comment ref="C14" authorId="0" shapeId="0" xr:uid="{00000000-0006-0000-0700-000002000000}">
      <text>
        <r>
          <rPr>
            <sz val="11"/>
            <color theme="1"/>
            <rFont val="Calibri"/>
            <family val="2"/>
            <scheme val="minor"/>
          </rPr>
          <t>230 calories for 9 pieces. Assume 9 pieces is roughly 1 cup.</t>
        </r>
      </text>
    </comment>
    <comment ref="C20" authorId="0" shapeId="0" xr:uid="{00000000-0006-0000-0700-000003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125 calories per .3 cup
.06 tablespoon per cup</t>
        </r>
      </text>
    </comment>
    <comment ref="C23" authorId="0" shapeId="0" xr:uid="{00000000-0006-0000-0700-000004000000}">
      <text>
        <r>
          <rPr>
            <sz val="11"/>
            <color theme="1"/>
            <rFont val="Calibri"/>
            <family val="2"/>
            <scheme val="minor"/>
          </rPr>
          <t>40 calories per cubic inch of parmasan. High in calcium, has some fat and protein</t>
        </r>
      </text>
    </comment>
    <comment ref="C27" authorId="0" shapeId="0" xr:uid="{00000000-0006-0000-0700-000005000000}">
      <text>
        <r>
          <rPr>
            <sz val="11"/>
            <color theme="1"/>
            <rFont val="Calibri"/>
            <family val="2"/>
            <scheme val="minor"/>
          </rPr>
          <t>CRUSHED. Need to weigh a cup of uncrushed chips.</t>
        </r>
      </text>
    </comment>
    <comment ref="E33" authorId="0" shapeId="0" xr:uid="{00000000-0006-0000-0700-000006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How many pieces/ package?</t>
        </r>
      </text>
    </comment>
    <comment ref="H36" authorId="0" shapeId="0" xr:uid="{00000000-0006-0000-0700-000007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Don't have MISO
</t>
        </r>
      </text>
    </comment>
    <comment ref="C37" authorId="0" shapeId="0" xr:uid="{00000000-0006-0000-0700-000008000000}">
      <text>
        <r>
          <rPr>
            <sz val="11"/>
            <color theme="1"/>
            <rFont val="Calibri"/>
            <family val="2"/>
            <scheme val="minor"/>
          </rPr>
          <t xml:space="preserve">Reasonably high in potatssium and has some vitamin c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9" authorId="0" shapeId="0" xr:uid="{00000000-0006-0000-08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Assumed 1/2 pack from existing package we have.</t>
        </r>
      </text>
    </comment>
    <comment ref="C14" authorId="0" shapeId="0" xr:uid="{00000000-0006-0000-0800-000002000000}">
      <text>
        <r>
          <rPr>
            <sz val="11"/>
            <color theme="1"/>
            <rFont val="Calibri"/>
            <family val="2"/>
            <scheme val="minor"/>
          </rPr>
          <t>230 calories for 9 pieces. Assume 9 pieces is roughly 1 cup.</t>
        </r>
      </text>
    </comment>
    <comment ref="C20" authorId="0" shapeId="0" xr:uid="{00000000-0006-0000-0800-000003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125 calories per .3 cup
.06 tablespoon per cup</t>
        </r>
      </text>
    </comment>
    <comment ref="C23" authorId="0" shapeId="0" xr:uid="{00000000-0006-0000-0800-000004000000}">
      <text>
        <r>
          <rPr>
            <sz val="11"/>
            <color theme="1"/>
            <rFont val="Calibri"/>
            <family val="2"/>
            <scheme val="minor"/>
          </rPr>
          <t>40 calories per cubic inch of parmasan. High in calcium, has some fat and protein</t>
        </r>
      </text>
    </comment>
    <comment ref="C27" authorId="0" shapeId="0" xr:uid="{00000000-0006-0000-0800-000005000000}">
      <text>
        <r>
          <rPr>
            <sz val="11"/>
            <color theme="1"/>
            <rFont val="Calibri"/>
            <family val="2"/>
            <scheme val="minor"/>
          </rPr>
          <t>CRUSHED. Need to weigh a cup of uncrushed chips.</t>
        </r>
      </text>
    </comment>
    <comment ref="E33" authorId="0" shapeId="0" xr:uid="{00000000-0006-0000-0800-000006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How many pieces/ package?</t>
        </r>
      </text>
    </comment>
    <comment ref="H36" authorId="0" shapeId="0" xr:uid="{00000000-0006-0000-0800-000007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Don't have MISO
</t>
        </r>
      </text>
    </comment>
    <comment ref="C37" authorId="0" shapeId="0" xr:uid="{00000000-0006-0000-0800-000008000000}">
      <text>
        <r>
          <rPr>
            <sz val="11"/>
            <color theme="1"/>
            <rFont val="Calibri"/>
            <family val="2"/>
            <scheme val="minor"/>
          </rPr>
          <t xml:space="preserve">Reasonably high in potatssium and has some vitamin c
</t>
        </r>
      </text>
    </comment>
  </commentList>
</comments>
</file>

<file path=xl/sharedStrings.xml><?xml version="1.0" encoding="utf-8"?>
<sst xmlns="http://schemas.openxmlformats.org/spreadsheetml/2006/main" count="1471" uniqueCount="373">
  <si>
    <t>Description</t>
  </si>
  <si>
    <t>Ingredients</t>
  </si>
  <si>
    <t>Natasha List Serving (g)</t>
  </si>
  <si>
    <t>Natasha Calorie Per Serving (g)</t>
  </si>
  <si>
    <t>Recipe Serving</t>
  </si>
  <si>
    <t>Recipe Serving Unit</t>
  </si>
  <si>
    <t>Density (g/serving unit)</t>
  </si>
  <si>
    <t>Calories Per Serving</t>
  </si>
  <si>
    <t>Shopping List</t>
  </si>
  <si>
    <t>Total Weight
(g)</t>
  </si>
  <si>
    <t>Total Weight
(kg)</t>
  </si>
  <si>
    <t>Final Units</t>
  </si>
  <si>
    <t>Final Units for Purchase</t>
  </si>
  <si>
    <t>Current Inventory (2018-04-15)</t>
  </si>
  <si>
    <t>Outstanding Quantity</t>
  </si>
  <si>
    <t>Store to Purchase</t>
  </si>
  <si>
    <t>Total Cost</t>
  </si>
  <si>
    <t xml:space="preserve">Instant Rice </t>
  </si>
  <si>
    <t>cup</t>
  </si>
  <si>
    <t>kg</t>
  </si>
  <si>
    <t>Foil Pack Tuna</t>
  </si>
  <si>
    <t>package</t>
  </si>
  <si>
    <t>y</t>
  </si>
  <si>
    <t>We have an extra 4 tuna packages in place of 4 salmons</t>
  </si>
  <si>
    <t>Parmasan Cheese Flakes</t>
  </si>
  <si>
    <t>tablespoon</t>
  </si>
  <si>
    <t>g</t>
  </si>
  <si>
    <t>Updated - 2018-04-21 after Costco trip</t>
  </si>
  <si>
    <t>Olive Oil</t>
  </si>
  <si>
    <t>~ 7 sections. 112 tablespoons ~ 1.6 L of olive oil total. So, that means ~ 7x 225 ml container</t>
  </si>
  <si>
    <t>Dehydrated Vegetables</t>
  </si>
  <si>
    <t>No package. Check the cabinet above sink to confirm</t>
  </si>
  <si>
    <t>Peanuts</t>
  </si>
  <si>
    <t>Instant Potato</t>
  </si>
  <si>
    <t>Rice Vermicelli Noodles</t>
  </si>
  <si>
    <t>Brick of noodles (1/5 of package)</t>
  </si>
  <si>
    <t>Whole Milk Powder</t>
  </si>
  <si>
    <t>Cheese Powder</t>
  </si>
  <si>
    <t>Foil Pack Chicken</t>
  </si>
  <si>
    <t>Curry Spice</t>
  </si>
  <si>
    <t>Chocolate Almonds</t>
  </si>
  <si>
    <t>Chicken Broth</t>
  </si>
  <si>
    <t>cube</t>
  </si>
  <si>
    <t>Dehydrated Onion</t>
  </si>
  <si>
    <t>Foil Pack Salmon</t>
  </si>
  <si>
    <t>Tortilla (Wrap)</t>
  </si>
  <si>
    <t>piece</t>
  </si>
  <si>
    <t>Peanut Butter</t>
  </si>
  <si>
    <t xml:space="preserve">Equates to roughly 7x750 g containers. </t>
  </si>
  <si>
    <t>Dried cranberries</t>
  </si>
  <si>
    <t>Chocolate Chips</t>
  </si>
  <si>
    <t>Sausage</t>
  </si>
  <si>
    <t>5 packages of 600 grams each; Frebeys. Intended to replace beef jerkey</t>
  </si>
  <si>
    <t>Aged Cheddar Cheese</t>
  </si>
  <si>
    <t>Oatmeal</t>
  </si>
  <si>
    <t>Banana Chips</t>
  </si>
  <si>
    <t>Brown sugar</t>
  </si>
  <si>
    <t>Tortilla (Chips)</t>
  </si>
  <si>
    <t>Dehydrated Hummus</t>
  </si>
  <si>
    <t>Oh Henry</t>
  </si>
  <si>
    <t>Cookies and Cream</t>
  </si>
  <si>
    <t>Snickers</t>
  </si>
  <si>
    <t>Snickers Bar</t>
  </si>
  <si>
    <t>bar</t>
  </si>
  <si>
    <t>Not just snickers.  Kyle will get all the Snickers he needs, but Natasha will supplement with other bars</t>
  </si>
  <si>
    <t>Cashews</t>
  </si>
  <si>
    <t>Annies Rice Pasta and Mac and Cheese</t>
  </si>
  <si>
    <t>Bacon Bits</t>
  </si>
  <si>
    <t>Beef Jerkey</t>
  </si>
  <si>
    <t>Beef Jerky</t>
  </si>
  <si>
    <t>3 pieces</t>
  </si>
  <si>
    <t>Couscous</t>
  </si>
  <si>
    <t>Chicken Gravy</t>
  </si>
  <si>
    <t>1/4 package</t>
  </si>
  <si>
    <t>Rice Ramen Noodle and Miso</t>
  </si>
  <si>
    <t>package (cup)</t>
  </si>
  <si>
    <t>Dried Mango</t>
  </si>
  <si>
    <t>Nothing/ Zero</t>
  </si>
  <si>
    <t>Gummy Bears</t>
  </si>
  <si>
    <t>Dehydrated Chicken</t>
  </si>
  <si>
    <t>package (35 g)</t>
  </si>
  <si>
    <t>Dehydrated Beef</t>
  </si>
  <si>
    <t>1/2 package (28)</t>
  </si>
  <si>
    <t>Alpine Aire Guacamole and Chips</t>
  </si>
  <si>
    <t>Garlic Powder</t>
  </si>
  <si>
    <t>mass (g)</t>
  </si>
  <si>
    <t>Protein Granola Bar</t>
  </si>
  <si>
    <t>Corn Chips (Fritos)</t>
  </si>
  <si>
    <t>57 chips (1/7 of bag)</t>
  </si>
  <si>
    <t>Sun Dried Tomatos</t>
  </si>
  <si>
    <t>Bean Dip</t>
  </si>
  <si>
    <t>1/2 package (g)</t>
  </si>
  <si>
    <t>Foil Packed Corned Beef</t>
  </si>
  <si>
    <t>Hersheys Almond Bar</t>
  </si>
  <si>
    <t>Starbucks Via</t>
  </si>
  <si>
    <t>Taco Seasoning</t>
  </si>
  <si>
    <t>1/5 package</t>
  </si>
  <si>
    <t>General Spices (salt, pepper, etc)</t>
  </si>
  <si>
    <t>teaspoon</t>
  </si>
  <si>
    <t>Dried Basil</t>
  </si>
  <si>
    <t>Cliff Bar</t>
  </si>
  <si>
    <t>Larabar</t>
  </si>
  <si>
    <t>Kind Bar</t>
  </si>
  <si>
    <t>Natures Path Sunrise</t>
  </si>
  <si>
    <t>Pop Tarts</t>
  </si>
  <si>
    <t>Pastry (1/2 foil package)</t>
  </si>
  <si>
    <t>Gatorade</t>
  </si>
  <si>
    <t>tablespoon (makes 0.35 L)</t>
  </si>
  <si>
    <t>Carnation Breakfast Drink</t>
  </si>
  <si>
    <t>Baby Food Pouch</t>
  </si>
  <si>
    <t>Package</t>
  </si>
  <si>
    <t>Kind Breakfast Bar</t>
  </si>
  <si>
    <t>Buy 20 bars - rest of bars will be supplemented with snickers, etc</t>
  </si>
  <si>
    <t>Mayonnaise Packet</t>
  </si>
  <si>
    <t>packet</t>
  </si>
  <si>
    <t>ProBar Base/Core Bar</t>
  </si>
  <si>
    <t>Reese Peanut Butter Cups</t>
  </si>
  <si>
    <t>Package of 3 cups</t>
  </si>
  <si>
    <t>O Henry Bar</t>
  </si>
  <si>
    <t>Hersheys Cookies'n'Cream Bar</t>
  </si>
  <si>
    <t>OTHER CONSUMABLES</t>
  </si>
  <si>
    <t>Sunscreen</t>
  </si>
  <si>
    <t>bottle</t>
  </si>
  <si>
    <t>Lip balm</t>
  </si>
  <si>
    <t>stick</t>
  </si>
  <si>
    <t>Baby wipes</t>
  </si>
  <si>
    <t>wipe</t>
  </si>
  <si>
    <t>Bug spray</t>
  </si>
  <si>
    <t>Hand sanitizer</t>
  </si>
  <si>
    <t>Qty</t>
  </si>
  <si>
    <t>Unit</t>
  </si>
  <si>
    <t>Total Mass</t>
  </si>
  <si>
    <t>Calories</t>
  </si>
  <si>
    <t>Occurences</t>
  </si>
  <si>
    <t>Unique List of Recipes</t>
  </si>
  <si>
    <t>Unique List of Ingredients</t>
  </si>
  <si>
    <t>Tuna + Rice Cassarole</t>
  </si>
  <si>
    <t>serving</t>
  </si>
  <si>
    <t>Salmon + Potato Cassarole</t>
  </si>
  <si>
    <t>Tuna + Potato Cassarole</t>
  </si>
  <si>
    <t>Cheese Pasta</t>
  </si>
  <si>
    <t>Salmon + Rice Cassarole</t>
  </si>
  <si>
    <t>Tortilla and Peanut Butter Lunch</t>
  </si>
  <si>
    <t>Sausage Lunch</t>
  </si>
  <si>
    <t>Tuna Lunch</t>
  </si>
  <si>
    <t>Chips and Dip</t>
  </si>
  <si>
    <t>Kyle's Kind Healthy Grain Bar Breakfast</t>
  </si>
  <si>
    <t>Kyle's Kind Bar Breakfast</t>
  </si>
  <si>
    <t>Kyle's Laura Bar Breakfast</t>
  </si>
  <si>
    <t>Kyle's Snickers Bar &amp; Almond Bar</t>
  </si>
  <si>
    <t>Beef Jerky Snack</t>
  </si>
  <si>
    <t>Gummy Bears Snack</t>
  </si>
  <si>
    <t>Cheese and Salmon Mac n Cheeze</t>
  </si>
  <si>
    <t>Cheese and Ramen Pasta</t>
  </si>
  <si>
    <t>Nothing</t>
  </si>
  <si>
    <t>Beans and Rice</t>
  </si>
  <si>
    <t>Natasha Pop Tart Breakfast</t>
  </si>
  <si>
    <t>Pesto Noodle</t>
  </si>
  <si>
    <t>Gatorade (1.5 L)</t>
  </si>
  <si>
    <t>Peanut Noodles</t>
  </si>
  <si>
    <t>Instant Carnation Mix</t>
  </si>
  <si>
    <t>Peanut Butter (Spoonful)</t>
  </si>
  <si>
    <t>Corn Chips (Handful)</t>
  </si>
  <si>
    <t>ProBar</t>
  </si>
  <si>
    <t>OHenry Bar</t>
  </si>
  <si>
    <t>Cookies'n'Cream Bar</t>
  </si>
  <si>
    <t>Natasha Meals</t>
  </si>
  <si>
    <t>Kyle Meals</t>
  </si>
  <si>
    <t>Day</t>
  </si>
  <si>
    <t>Meal</t>
  </si>
  <si>
    <t>Meal Name</t>
  </si>
  <si>
    <t>Servings</t>
  </si>
  <si>
    <t>Weight (g)</t>
  </si>
  <si>
    <t>Calories/g</t>
  </si>
  <si>
    <t>Number of Occurences</t>
  </si>
  <si>
    <t>A</t>
  </si>
  <si>
    <t>Breakfast</t>
  </si>
  <si>
    <t>Lunch</t>
  </si>
  <si>
    <t>Snack</t>
  </si>
  <si>
    <t>Dinner</t>
  </si>
  <si>
    <t>B</t>
  </si>
  <si>
    <t>C</t>
  </si>
  <si>
    <t>D</t>
  </si>
  <si>
    <t>E</t>
  </si>
  <si>
    <t>Include in List</t>
  </si>
  <si>
    <t>DO NOT TOUCH - AUTO FILLED</t>
  </si>
  <si>
    <t>EDIT HERE</t>
  </si>
  <si>
    <t>Natasha Meal Plan</t>
  </si>
  <si>
    <t>Natasha Meal Calories</t>
  </si>
  <si>
    <t>Kyle Meal Plan</t>
  </si>
  <si>
    <t>Kyle Meal Calories</t>
  </si>
  <si>
    <t>Day 1</t>
  </si>
  <si>
    <t>Day 2</t>
  </si>
  <si>
    <t>Day 3</t>
  </si>
  <si>
    <t>Day 4</t>
  </si>
  <si>
    <t>Day 5</t>
  </si>
  <si>
    <t>Day 6</t>
  </si>
  <si>
    <t>Day 7</t>
  </si>
  <si>
    <t>Coleman</t>
  </si>
  <si>
    <t>Day 8</t>
  </si>
  <si>
    <t>Day 9</t>
  </si>
  <si>
    <t>Day 10</t>
  </si>
  <si>
    <t>Day 11</t>
  </si>
  <si>
    <t>Day 12</t>
  </si>
  <si>
    <t>Day 13</t>
  </si>
  <si>
    <t>Day 14</t>
  </si>
  <si>
    <t>Day 15</t>
  </si>
  <si>
    <t>Day 16</t>
  </si>
  <si>
    <t>Peter Lougheed</t>
  </si>
  <si>
    <t>Day 17</t>
  </si>
  <si>
    <t>Day 18</t>
  </si>
  <si>
    <t>Day 19</t>
  </si>
  <si>
    <t>Day 20</t>
  </si>
  <si>
    <t>Day 21</t>
  </si>
  <si>
    <t>Banff</t>
  </si>
  <si>
    <t>Day 22</t>
  </si>
  <si>
    <t>Day 23</t>
  </si>
  <si>
    <t>Day 24</t>
  </si>
  <si>
    <t>Day 25</t>
  </si>
  <si>
    <t>Day 26</t>
  </si>
  <si>
    <t>Field</t>
  </si>
  <si>
    <t>Day 27</t>
  </si>
  <si>
    <t>Day 28</t>
  </si>
  <si>
    <t>Day 29</t>
  </si>
  <si>
    <t>Day 30</t>
  </si>
  <si>
    <t>The Crossing</t>
  </si>
  <si>
    <t>Day 31</t>
  </si>
  <si>
    <t>Day 32</t>
  </si>
  <si>
    <t>Day 33</t>
  </si>
  <si>
    <t>Day 34</t>
  </si>
  <si>
    <t>Day 35</t>
  </si>
  <si>
    <t>Day 36</t>
  </si>
  <si>
    <t>Day 37</t>
  </si>
  <si>
    <t>Jasper</t>
  </si>
  <si>
    <t>Day 38</t>
  </si>
  <si>
    <t>Day 39</t>
  </si>
  <si>
    <t>Day 40</t>
  </si>
  <si>
    <t>Day 41</t>
  </si>
  <si>
    <t>Day 42</t>
  </si>
  <si>
    <t>Day 43</t>
  </si>
  <si>
    <t>Day 44</t>
  </si>
  <si>
    <t>Day 45</t>
  </si>
  <si>
    <t>Day 46</t>
  </si>
  <si>
    <t>Day 47</t>
  </si>
  <si>
    <t>Day 48</t>
  </si>
  <si>
    <t>Day 49</t>
  </si>
  <si>
    <t>Day 50</t>
  </si>
  <si>
    <t>Day 51</t>
  </si>
  <si>
    <t>Day 52</t>
  </si>
  <si>
    <t>Day 53</t>
  </si>
  <si>
    <t>Day 54</t>
  </si>
  <si>
    <t>Day 55</t>
  </si>
  <si>
    <t>Day 56</t>
  </si>
  <si>
    <t>Day 57</t>
  </si>
  <si>
    <t>Item</t>
  </si>
  <si>
    <t>Buy?</t>
  </si>
  <si>
    <t>Lookup</t>
  </si>
  <si>
    <t>Notes</t>
  </si>
  <si>
    <t>Store</t>
  </si>
  <si>
    <t>Status</t>
  </si>
  <si>
    <t>Cost</t>
  </si>
  <si>
    <t>Package Units</t>
  </si>
  <si>
    <t>Cost/Size</t>
  </si>
  <si>
    <t>Units</t>
  </si>
  <si>
    <t>Amount Required</t>
  </si>
  <si>
    <t>Amount Required Units</t>
  </si>
  <si>
    <t>Packages to Purchase</t>
  </si>
  <si>
    <t>Get light tuna, not white tuna</t>
  </si>
  <si>
    <t>Costco</t>
  </si>
  <si>
    <t>Not online. Unsure if available in person.</t>
  </si>
  <si>
    <t>N/A</t>
  </si>
  <si>
    <t>Superstore</t>
  </si>
  <si>
    <t>Choices</t>
  </si>
  <si>
    <t>Walmart Grandview HWY</t>
  </si>
  <si>
    <t>In 2011 people reported that it was in stock</t>
  </si>
  <si>
    <t>Safeway</t>
  </si>
  <si>
    <t>In 2015 some people reported in was stock Collingwood Safeway</t>
  </si>
  <si>
    <t>IGA</t>
  </si>
  <si>
    <t>Online.</t>
  </si>
  <si>
    <t>Available online. Expensive.</t>
  </si>
  <si>
    <t>Y</t>
  </si>
  <si>
    <t>MEC</t>
  </si>
  <si>
    <t>Available online. Available in person (usually)</t>
  </si>
  <si>
    <t>Meinhardt Fine Foods</t>
  </si>
  <si>
    <t>Used to be available in store. Need to check again.</t>
  </si>
  <si>
    <t>Amazon</t>
  </si>
  <si>
    <t>2 pack (48)</t>
  </si>
  <si>
    <t>4 pack (48)</t>
  </si>
  <si>
    <t>4x 6 packs</t>
  </si>
  <si>
    <t>48 pack</t>
  </si>
  <si>
    <t>https://www.amazon.ca/Snickers-Chocolate-4-Pack-208g/dp/B00LAEGA3G/ref=sr_1_1?s=grocery&amp;ie=UTF8&amp;qid=1517863885&amp;sr=1-1&amp;keywords=snickers</t>
  </si>
  <si>
    <t>CandyFunHouse</t>
  </si>
  <si>
    <t>Presidents Choice Instant Rice</t>
  </si>
  <si>
    <t>Minute Rice</t>
  </si>
  <si>
    <t>Great Value Instant Rice</t>
  </si>
  <si>
    <t>Fritos</t>
  </si>
  <si>
    <t>Rice Noodles</t>
  </si>
  <si>
    <t>Instant Beans (whole or refried)</t>
  </si>
  <si>
    <t>Dehydrated Whole Milk</t>
  </si>
  <si>
    <t>Parmasan Cheese Flakes</t>
  </si>
  <si>
    <t>Dehydrated garlic</t>
  </si>
  <si>
    <t>basil</t>
  </si>
  <si>
    <t>Or any breakfast bar</t>
  </si>
  <si>
    <t>Almond Bar</t>
  </si>
  <si>
    <t>https://www.amazon.ca/Hersheys-Milk-Chocolate-Almonds-172-Gram/dp/B01K6QIEK0/ref=sr_1_27?ie=UTF8&amp;qid=1518308067&amp;sr=8-27&amp;keywords=hersheys</t>
  </si>
  <si>
    <t>https://www.amazon.ca/Hersheys-Almond-Bar-Pack-6/dp/B01K6QDF4U/ref=pd_sim_325_36?_encoding=UTF8&amp;psc=1&amp;refRID=NBK3Q4ZK8E04FWAR0ETF</t>
  </si>
  <si>
    <t>Walmart</t>
  </si>
  <si>
    <t>$10 off $99</t>
  </si>
  <si>
    <t>Serving Unit</t>
  </si>
  <si>
    <t>Typ. Units</t>
  </si>
  <si>
    <t>MERCHANT</t>
  </si>
  <si>
    <t>CONVERSIONS</t>
  </si>
  <si>
    <t>Superstore/ No Frills</t>
  </si>
  <si>
    <t>Gummy Bear</t>
  </si>
  <si>
    <t>grams/piece</t>
  </si>
  <si>
    <t>http://www.amazon.com/gp/offer-listing/B00374QXAC/ref=dp_olp_new_mbc?ie=UTF8&amp;condition=new</t>
  </si>
  <si>
    <t>Parmasean Cheese</t>
  </si>
  <si>
    <t>grams/tsp</t>
  </si>
  <si>
    <t>tsp/tbspn</t>
  </si>
  <si>
    <t>oz</t>
  </si>
  <si>
    <t>oz/tbspn</t>
  </si>
  <si>
    <t>MEC; Whole Foods; Online (Company I saw)</t>
  </si>
  <si>
    <t>g/tbspn</t>
  </si>
  <si>
    <t>Whole Foods</t>
  </si>
  <si>
    <t>Hummus Package</t>
  </si>
  <si>
    <t>Superstore/ No Frills/ Whole Foods if for Kyle</t>
  </si>
  <si>
    <t>Bulk Barn (Still Have Some)</t>
  </si>
  <si>
    <t>**PLUS SOME FOR COFFEE/ DRINKS</t>
  </si>
  <si>
    <t>play loose with this one</t>
  </si>
  <si>
    <t>MEC; or Amazon</t>
  </si>
  <si>
    <t>Greens</t>
  </si>
  <si>
    <t>Get two or three 0.5 kg sized ones. Carry one. Ship the others.</t>
  </si>
  <si>
    <t>Slice of Salami</t>
  </si>
  <si>
    <t>Slice of Cheese</t>
  </si>
  <si>
    <t>Whole Foods/ Greens</t>
  </si>
  <si>
    <t>Superstore/ No Frills/ Home</t>
  </si>
  <si>
    <t>grams</t>
  </si>
  <si>
    <t>?</t>
  </si>
  <si>
    <t>Greens/ Whole Foods</t>
  </si>
  <si>
    <t>Superstore/ No Frills (Bulk Section)</t>
  </si>
  <si>
    <t>THIS LIST IS NOT DYNAMIC. UPDATE THIS IF YOU UPDATE THE MEAL PLAN</t>
  </si>
  <si>
    <t>Current Qty (Incl On Order)</t>
  </si>
  <si>
    <t>Qty To Order</t>
  </si>
  <si>
    <t>TBD</t>
  </si>
  <si>
    <t>tspn</t>
  </si>
  <si>
    <t>2 package</t>
  </si>
  <si>
    <t>Leg</t>
  </si>
  <si>
    <t>Location</t>
  </si>
  <si>
    <t>Postal Code</t>
  </si>
  <si>
    <t>Days</t>
  </si>
  <si>
    <t>Est Volume Needed (L)</t>
  </si>
  <si>
    <t>Est Weight (lbs)</t>
  </si>
  <si>
    <t>Est Cost ($)</t>
  </si>
  <si>
    <t>Est Vol/Day (L)</t>
  </si>
  <si>
    <t>Waterton to Coleman</t>
  </si>
  <si>
    <t>n/a</t>
  </si>
  <si>
    <t>n/a - Bring food with us to the start</t>
  </si>
  <si>
    <t>Est Weight/day (lbs)</t>
  </si>
  <si>
    <t>Coleman to Peter Lougheed</t>
  </si>
  <si>
    <t>T0K 0M0</t>
  </si>
  <si>
    <t>Assuming 2 XL boxes</t>
  </si>
  <si>
    <t>Peter Lougheed to Banff</t>
  </si>
  <si>
    <t>T1W 1P1</t>
  </si>
  <si>
    <t>Assuming 1 XL box</t>
  </si>
  <si>
    <t>Banff to Field</t>
  </si>
  <si>
    <t>T1L 1A0</t>
  </si>
  <si>
    <t>Field to Crossing</t>
  </si>
  <si>
    <t>V0A 1G0</t>
  </si>
  <si>
    <t>Crossing to Jasper</t>
  </si>
  <si>
    <t>T0L 1E0</t>
  </si>
  <si>
    <t>Assuming 1 XL box and 1 L box</t>
  </si>
  <si>
    <t>Jasper to Kakwa</t>
  </si>
  <si>
    <t>T0E 1E0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</si>
</sst>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([$$-409]* #,##0.00_);_([$$-409]* \(#,##0.00\);_([$$-409]* &quot;-&quot;??_);_(@_)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B8CCE4"/>
        <bgColor indexed="64"/>
      </patternFill>
    </fill>
    <fill>
      <patternFill patternType="solid">
        <fgColor rgb="FFB2A2C7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AC08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8585"/>
        <bgColor indexed="64"/>
      </patternFill>
    </fill>
    <fill>
      <patternFill patternType="solid">
        <fgColor rgb="FF22EE8D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7" tint="0.59999389629810485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8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10" borderId="32" applyNumberFormat="0" applyFont="0" applyAlignment="0" applyProtection="0"/>
    <xf numFmtId="0" fontId="8" fillId="16" borderId="0" applyNumberFormat="0" applyBorder="0" applyAlignment="0" applyProtection="0"/>
  </cellStyleXfs>
  <cellXfs count="195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1" fillId="0" borderId="0" xfId="0" applyFont="1"/>
    <xf numFmtId="0" fontId="1" fillId="3" borderId="1" xfId="0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" xfId="0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4" borderId="17" xfId="0" applyFont="1" applyFill="1" applyBorder="1"/>
    <xf numFmtId="0" fontId="1" fillId="4" borderId="18" xfId="0" applyFont="1" applyFill="1" applyBorder="1"/>
    <xf numFmtId="0" fontId="0" fillId="0" borderId="19" xfId="0" applyBorder="1"/>
    <xf numFmtId="0" fontId="0" fillId="0" borderId="20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3" borderId="8" xfId="0" applyFont="1" applyFill="1" applyBorder="1"/>
    <xf numFmtId="0" fontId="1" fillId="2" borderId="12" xfId="0" applyFont="1" applyFill="1" applyBorder="1"/>
    <xf numFmtId="0" fontId="1" fillId="3" borderId="9" xfId="0" applyFont="1" applyFill="1" applyBorder="1"/>
    <xf numFmtId="164" fontId="0" fillId="0" borderId="5" xfId="0" applyNumberFormat="1" applyBorder="1"/>
    <xf numFmtId="0" fontId="1" fillId="0" borderId="0" xfId="0" applyFont="1" applyAlignment="1">
      <alignment horizontal="center"/>
    </xf>
    <xf numFmtId="0" fontId="0" fillId="7" borderId="1" xfId="0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1" fillId="0" borderId="27" xfId="0" applyFont="1" applyBorder="1" applyAlignment="1">
      <alignment horizontal="center"/>
    </xf>
    <xf numFmtId="0" fontId="0" fillId="0" borderId="30" xfId="0" applyBorder="1"/>
    <xf numFmtId="0" fontId="0" fillId="0" borderId="31" xfId="0" applyBorder="1"/>
    <xf numFmtId="0" fontId="5" fillId="8" borderId="0" xfId="1" applyAlignment="1">
      <alignment horizontal="center"/>
    </xf>
    <xf numFmtId="0" fontId="1" fillId="0" borderId="1" xfId="0" applyFont="1" applyBorder="1"/>
    <xf numFmtId="0" fontId="0" fillId="7" borderId="0" xfId="0" applyFill="1"/>
    <xf numFmtId="0" fontId="6" fillId="7" borderId="0" xfId="0" applyFont="1" applyFill="1"/>
    <xf numFmtId="0" fontId="0" fillId="9" borderId="0" xfId="0" applyFill="1"/>
    <xf numFmtId="0" fontId="5" fillId="8" borderId="0" xfId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7" borderId="19" xfId="0" applyFill="1" applyBorder="1"/>
    <xf numFmtId="0" fontId="0" fillId="7" borderId="4" xfId="0" applyFill="1" applyBorder="1"/>
    <xf numFmtId="2" fontId="0" fillId="0" borderId="0" xfId="0" applyNumberFormat="1" applyAlignment="1">
      <alignment horizontal="center" vertical="center"/>
    </xf>
    <xf numFmtId="2" fontId="0" fillId="9" borderId="0" xfId="0" applyNumberFormat="1" applyFill="1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2" xfId="0" applyBorder="1"/>
    <xf numFmtId="0" fontId="0" fillId="0" borderId="26" xfId="0" applyBorder="1" applyAlignment="1">
      <alignment horizontal="center" vertical="center"/>
    </xf>
    <xf numFmtId="0" fontId="0" fillId="0" borderId="18" xfId="0" applyBorder="1"/>
    <xf numFmtId="0" fontId="0" fillId="0" borderId="9" xfId="0" applyBorder="1"/>
    <xf numFmtId="0" fontId="10" fillId="8" borderId="1" xfId="1" applyFont="1" applyBorder="1" applyAlignment="1">
      <alignment horizontal="center" vertical="center"/>
    </xf>
    <xf numFmtId="0" fontId="10" fillId="8" borderId="26" xfId="1" applyFont="1" applyBorder="1" applyAlignment="1">
      <alignment horizontal="center" vertical="center"/>
    </xf>
    <xf numFmtId="0" fontId="10" fillId="8" borderId="1" xfId="1" applyFont="1" applyBorder="1" applyAlignment="1">
      <alignment horizontal="center" vertical="center" wrapText="1"/>
    </xf>
    <xf numFmtId="0" fontId="10" fillId="8" borderId="26" xfId="1" applyFont="1" applyBorder="1" applyAlignment="1">
      <alignment horizontal="center" vertical="center" wrapText="1"/>
    </xf>
    <xf numFmtId="165" fontId="10" fillId="8" borderId="1" xfId="1" applyNumberFormat="1" applyFont="1" applyBorder="1" applyAlignment="1">
      <alignment horizontal="center" vertical="center" wrapText="1"/>
    </xf>
    <xf numFmtId="0" fontId="1" fillId="2" borderId="2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3" borderId="33" xfId="0" applyFont="1" applyFill="1" applyBorder="1"/>
    <xf numFmtId="0" fontId="1" fillId="3" borderId="34" xfId="0" applyFont="1" applyFill="1" applyBorder="1"/>
    <xf numFmtId="0" fontId="1" fillId="3" borderId="18" xfId="0" applyFont="1" applyFill="1" applyBorder="1"/>
    <xf numFmtId="0" fontId="1" fillId="3" borderId="2" xfId="0" applyFont="1" applyFill="1" applyBorder="1"/>
    <xf numFmtId="0" fontId="1" fillId="2" borderId="23" xfId="0" applyFont="1" applyFill="1" applyBorder="1"/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9" fillId="10" borderId="1" xfId="3" applyFont="1" applyBorder="1" applyAlignment="1">
      <alignment horizontal="center" wrapText="1"/>
    </xf>
    <xf numFmtId="0" fontId="0" fillId="0" borderId="36" xfId="0" applyBorder="1" applyAlignment="1">
      <alignment horizontal="center"/>
    </xf>
    <xf numFmtId="0" fontId="0" fillId="0" borderId="38" xfId="0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9" fillId="10" borderId="38" xfId="3" applyFont="1" applyBorder="1" applyAlignment="1">
      <alignment horizontal="center" wrapText="1"/>
    </xf>
    <xf numFmtId="0" fontId="0" fillId="0" borderId="40" xfId="0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9" fillId="10" borderId="45" xfId="3" applyFont="1" applyBorder="1" applyAlignment="1">
      <alignment horizontal="center" wrapText="1"/>
    </xf>
    <xf numFmtId="0" fontId="0" fillId="0" borderId="48" xfId="0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2" borderId="50" xfId="0" applyFont="1" applyFill="1" applyBorder="1" applyAlignment="1">
      <alignment horizontal="center" vertical="center" wrapText="1"/>
    </xf>
    <xf numFmtId="0" fontId="1" fillId="2" borderId="51" xfId="0" applyFont="1" applyFill="1" applyBorder="1" applyAlignment="1">
      <alignment horizontal="center" vertical="center" wrapText="1"/>
    </xf>
    <xf numFmtId="0" fontId="1" fillId="2" borderId="5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164" fontId="0" fillId="0" borderId="2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0" fontId="0" fillId="0" borderId="26" xfId="0" applyBorder="1" applyAlignment="1">
      <alignment vertical="center"/>
    </xf>
    <xf numFmtId="0" fontId="7" fillId="0" borderId="1" xfId="2" applyBorder="1" applyAlignment="1">
      <alignment vertical="center" wrapText="1"/>
    </xf>
    <xf numFmtId="0" fontId="0" fillId="7" borderId="26" xfId="0" applyFill="1" applyBorder="1" applyAlignment="1">
      <alignment vertical="center"/>
    </xf>
    <xf numFmtId="0" fontId="7" fillId="0" borderId="1" xfId="2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 wrapText="1"/>
    </xf>
    <xf numFmtId="165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3" xfId="0" applyFont="1" applyFill="1" applyBorder="1" applyAlignment="1">
      <alignment horizontal="center" vertical="center" wrapText="1"/>
    </xf>
    <xf numFmtId="164" fontId="0" fillId="7" borderId="1" xfId="0" applyNumberFormat="1" applyFill="1" applyBorder="1"/>
    <xf numFmtId="0" fontId="0" fillId="0" borderId="8" xfId="0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9" fillId="10" borderId="1" xfId="3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1" fillId="0" borderId="19" xfId="0" applyFont="1" applyBorder="1"/>
    <xf numFmtId="0" fontId="11" fillId="0" borderId="1" xfId="0" applyFont="1" applyBorder="1"/>
    <xf numFmtId="0" fontId="11" fillId="0" borderId="4" xfId="0" applyFont="1" applyBorder="1"/>
    <xf numFmtId="0" fontId="0" fillId="0" borderId="37" xfId="0" applyBorder="1"/>
    <xf numFmtId="0" fontId="0" fillId="0" borderId="40" xfId="0" applyBorder="1" applyAlignment="1">
      <alignment horizontal="center" vertical="center"/>
    </xf>
    <xf numFmtId="0" fontId="0" fillId="0" borderId="38" xfId="0" applyBorder="1"/>
    <xf numFmtId="0" fontId="0" fillId="0" borderId="38" xfId="0" applyBorder="1" applyAlignment="1">
      <alignment horizontal="center" vertical="center"/>
    </xf>
    <xf numFmtId="0" fontId="0" fillId="0" borderId="42" xfId="0" applyBorder="1"/>
    <xf numFmtId="0" fontId="0" fillId="0" borderId="2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42" xfId="0" applyBorder="1" applyAlignment="1">
      <alignment vertical="center"/>
    </xf>
    <xf numFmtId="16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center"/>
    </xf>
    <xf numFmtId="0" fontId="0" fillId="0" borderId="44" xfId="0" applyBorder="1"/>
    <xf numFmtId="0" fontId="0" fillId="0" borderId="54" xfId="0" applyBorder="1" applyAlignment="1">
      <alignment horizontal="center" vertical="center"/>
    </xf>
    <xf numFmtId="0" fontId="0" fillId="0" borderId="45" xfId="0" applyBorder="1"/>
    <xf numFmtId="0" fontId="0" fillId="0" borderId="45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9" borderId="11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11" borderId="28" xfId="0" applyFont="1" applyFill="1" applyBorder="1" applyAlignment="1">
      <alignment horizontal="center"/>
    </xf>
    <xf numFmtId="0" fontId="1" fillId="9" borderId="10" xfId="0" applyFont="1" applyFill="1" applyBorder="1" applyAlignment="1">
      <alignment horizontal="center" vertical="center"/>
    </xf>
    <xf numFmtId="0" fontId="1" fillId="12" borderId="35" xfId="0" applyFont="1" applyFill="1" applyBorder="1" applyAlignment="1">
      <alignment horizontal="center" vertical="center"/>
    </xf>
    <xf numFmtId="0" fontId="1" fillId="12" borderId="29" xfId="0" applyFont="1" applyFill="1" applyBorder="1" applyAlignment="1">
      <alignment horizontal="center" vertical="center"/>
    </xf>
    <xf numFmtId="0" fontId="1" fillId="13" borderId="28" xfId="0" applyFont="1" applyFill="1" applyBorder="1" applyAlignment="1">
      <alignment horizontal="center" vertical="center"/>
    </xf>
    <xf numFmtId="0" fontId="1" fillId="13" borderId="35" xfId="0" applyFont="1" applyFill="1" applyBorder="1" applyAlignment="1">
      <alignment horizontal="center" vertical="center"/>
    </xf>
    <xf numFmtId="0" fontId="1" fillId="13" borderId="29" xfId="0" applyFont="1" applyFill="1" applyBorder="1" applyAlignment="1">
      <alignment horizontal="center" vertical="center"/>
    </xf>
    <xf numFmtId="164" fontId="11" fillId="0" borderId="1" xfId="0" applyNumberFormat="1" applyFont="1" applyBorder="1"/>
    <xf numFmtId="0" fontId="1" fillId="14" borderId="11" xfId="0" applyFont="1" applyFill="1" applyBorder="1" applyAlignment="1">
      <alignment horizontal="center" vertical="center"/>
    </xf>
    <xf numFmtId="0" fontId="1" fillId="14" borderId="12" xfId="0" applyFont="1" applyFill="1" applyBorder="1" applyAlignment="1">
      <alignment horizontal="center" vertical="center"/>
    </xf>
    <xf numFmtId="0" fontId="1" fillId="15" borderId="12" xfId="0" applyFont="1" applyFill="1" applyBorder="1" applyAlignment="1">
      <alignment horizontal="center" vertical="center"/>
    </xf>
    <xf numFmtId="1" fontId="1" fillId="15" borderId="11" xfId="0" applyNumberFormat="1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1" fillId="4" borderId="33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1" fillId="4" borderId="55" xfId="0" applyFont="1" applyFill="1" applyBorder="1" applyAlignment="1">
      <alignment horizontal="center" vertical="center"/>
    </xf>
    <xf numFmtId="0" fontId="8" fillId="16" borderId="1" xfId="4" applyBorder="1" applyAlignment="1">
      <alignment horizontal="center" vertical="center"/>
    </xf>
    <xf numFmtId="1" fontId="8" fillId="16" borderId="1" xfId="4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" fontId="0" fillId="0" borderId="0" xfId="0" applyNumberFormat="1"/>
    <xf numFmtId="164" fontId="1" fillId="15" borderId="12" xfId="0" applyNumberFormat="1" applyFont="1" applyFill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1" fillId="14" borderId="1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17" borderId="42" xfId="0" applyFont="1" applyFill="1" applyBorder="1"/>
    <xf numFmtId="0" fontId="0" fillId="17" borderId="2" xfId="0" applyFill="1" applyBorder="1" applyAlignment="1">
      <alignment horizontal="center" vertical="center"/>
    </xf>
    <xf numFmtId="0" fontId="0" fillId="17" borderId="1" xfId="0" applyFill="1" applyBorder="1"/>
    <xf numFmtId="0" fontId="0" fillId="17" borderId="1" xfId="0" applyFill="1" applyBorder="1" applyAlignment="1">
      <alignment horizontal="center" vertical="center"/>
    </xf>
    <xf numFmtId="0" fontId="0" fillId="17" borderId="1" xfId="0" applyFill="1" applyBorder="1" applyAlignment="1">
      <alignment horizontal="center"/>
    </xf>
    <xf numFmtId="0" fontId="0" fillId="17" borderId="8" xfId="0" applyFill="1" applyBorder="1" applyAlignment="1">
      <alignment horizontal="center"/>
    </xf>
    <xf numFmtId="0" fontId="1" fillId="17" borderId="26" xfId="0" applyFont="1" applyFill="1" applyBorder="1" applyAlignment="1">
      <alignment horizontal="center"/>
    </xf>
    <xf numFmtId="0" fontId="9" fillId="17" borderId="1" xfId="3" applyFont="1" applyFill="1" applyBorder="1" applyAlignment="1">
      <alignment horizontal="center" wrapText="1"/>
    </xf>
    <xf numFmtId="0" fontId="0" fillId="17" borderId="36" xfId="0" applyFill="1" applyBorder="1" applyAlignment="1">
      <alignment horizontal="center"/>
    </xf>
    <xf numFmtId="0" fontId="1" fillId="17" borderId="43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17" borderId="0" xfId="0" applyFont="1" applyFill="1" applyAlignment="1">
      <alignment horizontal="center"/>
    </xf>
    <xf numFmtId="0" fontId="1" fillId="0" borderId="26" xfId="0" applyFont="1" applyBorder="1" applyAlignment="1">
      <alignment horizontal="center"/>
    </xf>
    <xf numFmtId="165" fontId="0" fillId="0" borderId="0" xfId="0" applyNumberFormat="1"/>
    <xf numFmtId="0" fontId="1" fillId="12" borderId="24" xfId="0" applyFont="1" applyFill="1" applyBorder="1" applyAlignment="1">
      <alignment horizontal="center" vertical="center"/>
    </xf>
    <xf numFmtId="0" fontId="1" fillId="12" borderId="56" xfId="0" applyFont="1" applyFill="1" applyBorder="1" applyAlignment="1">
      <alignment horizontal="center" vertical="center"/>
    </xf>
    <xf numFmtId="0" fontId="1" fillId="12" borderId="22" xfId="0" applyFont="1" applyFill="1" applyBorder="1" applyAlignment="1">
      <alignment horizontal="center" vertical="center"/>
    </xf>
    <xf numFmtId="0" fontId="1" fillId="13" borderId="21" xfId="0" applyFont="1" applyFill="1" applyBorder="1" applyAlignment="1">
      <alignment horizontal="center" vertical="center"/>
    </xf>
    <xf numFmtId="0" fontId="1" fillId="13" borderId="56" xfId="0" applyFont="1" applyFill="1" applyBorder="1" applyAlignment="1">
      <alignment horizontal="center" vertical="center"/>
    </xf>
    <xf numFmtId="0" fontId="1" fillId="13" borderId="22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 vertical="center" textRotation="90" wrapText="1"/>
    </xf>
    <xf numFmtId="0" fontId="2" fillId="5" borderId="55" xfId="0" applyFont="1" applyFill="1" applyBorder="1" applyAlignment="1">
      <alignment horizontal="center" vertical="center" textRotation="90" wrapText="1"/>
    </xf>
    <xf numFmtId="0" fontId="1" fillId="0" borderId="26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5" fillId="8" borderId="28" xfId="1" applyBorder="1" applyAlignment="1">
      <alignment horizontal="center"/>
    </xf>
    <xf numFmtId="0" fontId="5" fillId="8" borderId="29" xfId="1" applyBorder="1" applyAlignment="1">
      <alignment horizontal="center"/>
    </xf>
  </cellXfs>
  <cellStyles count="5">
    <cellStyle name="20% - Accent1" xfId="4" builtinId="30"/>
    <cellStyle name="Accent1" xfId="1" builtinId="29"/>
    <cellStyle name="Hyperlink" xfId="2" builtinId="8"/>
    <cellStyle name="Normal" xfId="0" builtinId="0"/>
    <cellStyle name="Note" xfId="3" builtinId="10"/>
  </cellStyles>
  <dxfs count="38"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Medium9"/>
  <colors>
    <mruColors>
      <color rgb="FF66FF99"/>
      <color rgb="FFFF99CC"/>
      <color rgb="FF22EE8D"/>
      <color rgb="FFFF85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Calories Per Day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1"/>
          <c:order val="1"/>
          <c:tx>
            <c:strRef>
              <c:f>Meal_Itinerary!$D$2</c:f>
              <c:strCache>
                <c:ptCount val="1"/>
                <c:pt idx="0">
                  <c:v>Natasha Meal Calories</c:v>
                </c:pt>
              </c:strCache>
            </c:strRef>
          </c:tx>
          <c:marker>
            <c:symbol val="none"/>
          </c:marker>
          <c:cat>
            <c:strRef>
              <c:f>Meal_Itinerary!$A$3:$A$63</c:f>
              <c:strCache>
                <c:ptCount val="57"/>
                <c:pt idx="0">
                  <c:v>Day 1</c:v>
                </c:pt>
                <c:pt idx="1">
                  <c:v>Day 2</c:v>
                </c:pt>
                <c:pt idx="2">
                  <c:v>Day 3</c:v>
                </c:pt>
                <c:pt idx="3">
                  <c:v>Day 4</c:v>
                </c:pt>
                <c:pt idx="4">
                  <c:v>Day 5</c:v>
                </c:pt>
                <c:pt idx="5">
                  <c:v>Day 6</c:v>
                </c:pt>
                <c:pt idx="6">
                  <c:v>Day 7</c:v>
                </c:pt>
                <c:pt idx="7">
                  <c:v>Day 8</c:v>
                </c:pt>
                <c:pt idx="8">
                  <c:v>Day 9</c:v>
                </c:pt>
                <c:pt idx="9">
                  <c:v>Day 10</c:v>
                </c:pt>
                <c:pt idx="10">
                  <c:v>Day 11</c:v>
                </c:pt>
                <c:pt idx="11">
                  <c:v>Day 12</c:v>
                </c:pt>
                <c:pt idx="12">
                  <c:v>Day 13</c:v>
                </c:pt>
                <c:pt idx="13">
                  <c:v>Day 14</c:v>
                </c:pt>
                <c:pt idx="14">
                  <c:v>Day 15</c:v>
                </c:pt>
                <c:pt idx="15">
                  <c:v>Day 16</c:v>
                </c:pt>
                <c:pt idx="16">
                  <c:v>Day 17</c:v>
                </c:pt>
                <c:pt idx="17">
                  <c:v>Day 18</c:v>
                </c:pt>
                <c:pt idx="18">
                  <c:v>Day 19</c:v>
                </c:pt>
                <c:pt idx="19">
                  <c:v>Day 20</c:v>
                </c:pt>
                <c:pt idx="20">
                  <c:v>Day 21</c:v>
                </c:pt>
                <c:pt idx="21">
                  <c:v>Day 22</c:v>
                </c:pt>
                <c:pt idx="22">
                  <c:v>Day 23</c:v>
                </c:pt>
                <c:pt idx="23">
                  <c:v>Day 24</c:v>
                </c:pt>
                <c:pt idx="24">
                  <c:v>Day 25</c:v>
                </c:pt>
                <c:pt idx="25">
                  <c:v>Day 26</c:v>
                </c:pt>
                <c:pt idx="26">
                  <c:v>Day 27</c:v>
                </c:pt>
                <c:pt idx="27">
                  <c:v>Day 28</c:v>
                </c:pt>
                <c:pt idx="28">
                  <c:v>Day 29</c:v>
                </c:pt>
                <c:pt idx="29">
                  <c:v>Day 30</c:v>
                </c:pt>
                <c:pt idx="30">
                  <c:v>Day 31</c:v>
                </c:pt>
                <c:pt idx="31">
                  <c:v>Day 32</c:v>
                </c:pt>
                <c:pt idx="32">
                  <c:v>Day 33</c:v>
                </c:pt>
                <c:pt idx="33">
                  <c:v>Day 34</c:v>
                </c:pt>
                <c:pt idx="34">
                  <c:v>Day 35</c:v>
                </c:pt>
                <c:pt idx="35">
                  <c:v>Day 36</c:v>
                </c:pt>
                <c:pt idx="36">
                  <c:v>Day 37</c:v>
                </c:pt>
                <c:pt idx="37">
                  <c:v>Day 38</c:v>
                </c:pt>
                <c:pt idx="38">
                  <c:v>Day 39</c:v>
                </c:pt>
                <c:pt idx="39">
                  <c:v>Day 40</c:v>
                </c:pt>
                <c:pt idx="40">
                  <c:v>Day 41</c:v>
                </c:pt>
                <c:pt idx="41">
                  <c:v>Day 42</c:v>
                </c:pt>
                <c:pt idx="42">
                  <c:v>Day 43</c:v>
                </c:pt>
                <c:pt idx="43">
                  <c:v>Day 44</c:v>
                </c:pt>
                <c:pt idx="44">
                  <c:v>Day 45</c:v>
                </c:pt>
                <c:pt idx="45">
                  <c:v>Day 46</c:v>
                </c:pt>
                <c:pt idx="46">
                  <c:v>Day 47</c:v>
                </c:pt>
                <c:pt idx="47">
                  <c:v>Day 48</c:v>
                </c:pt>
                <c:pt idx="48">
                  <c:v>Day 49</c:v>
                </c:pt>
                <c:pt idx="49">
                  <c:v>Day 50</c:v>
                </c:pt>
                <c:pt idx="50">
                  <c:v>Day 51</c:v>
                </c:pt>
                <c:pt idx="51">
                  <c:v>Day 52</c:v>
                </c:pt>
                <c:pt idx="52">
                  <c:v>Day 53</c:v>
                </c:pt>
                <c:pt idx="53">
                  <c:v>Day 54</c:v>
                </c:pt>
                <c:pt idx="54">
                  <c:v>Day 55</c:v>
                </c:pt>
                <c:pt idx="55">
                  <c:v>Day 56</c:v>
                </c:pt>
                <c:pt idx="56">
                  <c:v>Day 57</c:v>
                </c:pt>
              </c:strCache>
            </c:strRef>
          </c:cat>
          <c:val>
            <c:numRef>
              <c:f>Meal_Itinerary!$D$3:$D$63</c:f>
              <c:numCache>
                <c:formatCode>0</c:formatCode>
                <c:ptCount val="61"/>
                <c:pt idx="0">
                  <c:v>3461.73</c:v>
                </c:pt>
                <c:pt idx="1">
                  <c:v>3595.73</c:v>
                </c:pt>
                <c:pt idx="2">
                  <c:v>3460.4500000000003</c:v>
                </c:pt>
                <c:pt idx="3">
                  <c:v>3461.73</c:v>
                </c:pt>
                <c:pt idx="4">
                  <c:v>3595.73</c:v>
                </c:pt>
                <c:pt idx="5">
                  <c:v>3460.4500000000003</c:v>
                </c:pt>
                <c:pt idx="6">
                  <c:v>3461.73</c:v>
                </c:pt>
                <c:pt idx="7">
                  <c:v>3595.73</c:v>
                </c:pt>
                <c:pt idx="8">
                  <c:v>3460.4500000000003</c:v>
                </c:pt>
                <c:pt idx="9">
                  <c:v>3461.73</c:v>
                </c:pt>
                <c:pt idx="10">
                  <c:v>3595.73</c:v>
                </c:pt>
                <c:pt idx="11">
                  <c:v>3460.4500000000003</c:v>
                </c:pt>
                <c:pt idx="12">
                  <c:v>3461.73</c:v>
                </c:pt>
                <c:pt idx="13">
                  <c:v>3595.73</c:v>
                </c:pt>
                <c:pt idx="14">
                  <c:v>3460.4500000000003</c:v>
                </c:pt>
                <c:pt idx="15">
                  <c:v>3461.73</c:v>
                </c:pt>
                <c:pt idx="16">
                  <c:v>3595.73</c:v>
                </c:pt>
                <c:pt idx="17">
                  <c:v>3460.4500000000003</c:v>
                </c:pt>
                <c:pt idx="18">
                  <c:v>3461.73</c:v>
                </c:pt>
                <c:pt idx="19">
                  <c:v>3595.73</c:v>
                </c:pt>
                <c:pt idx="20">
                  <c:v>3460.4500000000003</c:v>
                </c:pt>
                <c:pt idx="21">
                  <c:v>3461.73</c:v>
                </c:pt>
                <c:pt idx="22">
                  <c:v>3595.73</c:v>
                </c:pt>
                <c:pt idx="23">
                  <c:v>3460.4500000000003</c:v>
                </c:pt>
                <c:pt idx="24">
                  <c:v>3461.73</c:v>
                </c:pt>
                <c:pt idx="25">
                  <c:v>3595.73</c:v>
                </c:pt>
                <c:pt idx="26">
                  <c:v>3460.4500000000003</c:v>
                </c:pt>
                <c:pt idx="27">
                  <c:v>3461.73</c:v>
                </c:pt>
                <c:pt idx="28">
                  <c:v>3595.73</c:v>
                </c:pt>
                <c:pt idx="29">
                  <c:v>3460.4500000000003</c:v>
                </c:pt>
                <c:pt idx="30">
                  <c:v>3461.73</c:v>
                </c:pt>
                <c:pt idx="31">
                  <c:v>3595.73</c:v>
                </c:pt>
                <c:pt idx="32">
                  <c:v>3460.4500000000003</c:v>
                </c:pt>
                <c:pt idx="33">
                  <c:v>3461.73</c:v>
                </c:pt>
                <c:pt idx="34">
                  <c:v>3595.73</c:v>
                </c:pt>
                <c:pt idx="35">
                  <c:v>3460.4500000000003</c:v>
                </c:pt>
                <c:pt idx="36">
                  <c:v>3461.73</c:v>
                </c:pt>
                <c:pt idx="37">
                  <c:v>3595.73</c:v>
                </c:pt>
                <c:pt idx="38">
                  <c:v>3460.4500000000003</c:v>
                </c:pt>
                <c:pt idx="39">
                  <c:v>3461.73</c:v>
                </c:pt>
                <c:pt idx="40">
                  <c:v>3595.73</c:v>
                </c:pt>
                <c:pt idx="41">
                  <c:v>3460.4500000000003</c:v>
                </c:pt>
                <c:pt idx="42">
                  <c:v>3461.73</c:v>
                </c:pt>
                <c:pt idx="43">
                  <c:v>3595.73</c:v>
                </c:pt>
                <c:pt idx="44">
                  <c:v>3460.4500000000003</c:v>
                </c:pt>
                <c:pt idx="45">
                  <c:v>3461.73</c:v>
                </c:pt>
                <c:pt idx="46">
                  <c:v>3595.73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612-4328-8288-A5D48D2568C7}"/>
            </c:ext>
          </c:extLst>
        </c:ser>
        <c:ser>
          <c:idx val="0"/>
          <c:order val="0"/>
          <c:tx>
            <c:strRef>
              <c:f>Meal_Itinerary!$F$2</c:f>
              <c:strCache>
                <c:ptCount val="1"/>
                <c:pt idx="0">
                  <c:v>Kyle Meal Calories</c:v>
                </c:pt>
              </c:strCache>
            </c:strRef>
          </c:tx>
          <c:marker>
            <c:symbol val="none"/>
          </c:marker>
          <c:cat>
            <c:strRef>
              <c:f>Meal_Itinerary!$A$3:$A$63</c:f>
              <c:strCache>
                <c:ptCount val="57"/>
                <c:pt idx="0">
                  <c:v>Day 1</c:v>
                </c:pt>
                <c:pt idx="1">
                  <c:v>Day 2</c:v>
                </c:pt>
                <c:pt idx="2">
                  <c:v>Day 3</c:v>
                </c:pt>
                <c:pt idx="3">
                  <c:v>Day 4</c:v>
                </c:pt>
                <c:pt idx="4">
                  <c:v>Day 5</c:v>
                </c:pt>
                <c:pt idx="5">
                  <c:v>Day 6</c:v>
                </c:pt>
                <c:pt idx="6">
                  <c:v>Day 7</c:v>
                </c:pt>
                <c:pt idx="7">
                  <c:v>Day 8</c:v>
                </c:pt>
                <c:pt idx="8">
                  <c:v>Day 9</c:v>
                </c:pt>
                <c:pt idx="9">
                  <c:v>Day 10</c:v>
                </c:pt>
                <c:pt idx="10">
                  <c:v>Day 11</c:v>
                </c:pt>
                <c:pt idx="11">
                  <c:v>Day 12</c:v>
                </c:pt>
                <c:pt idx="12">
                  <c:v>Day 13</c:v>
                </c:pt>
                <c:pt idx="13">
                  <c:v>Day 14</c:v>
                </c:pt>
                <c:pt idx="14">
                  <c:v>Day 15</c:v>
                </c:pt>
                <c:pt idx="15">
                  <c:v>Day 16</c:v>
                </c:pt>
                <c:pt idx="16">
                  <c:v>Day 17</c:v>
                </c:pt>
                <c:pt idx="17">
                  <c:v>Day 18</c:v>
                </c:pt>
                <c:pt idx="18">
                  <c:v>Day 19</c:v>
                </c:pt>
                <c:pt idx="19">
                  <c:v>Day 20</c:v>
                </c:pt>
                <c:pt idx="20">
                  <c:v>Day 21</c:v>
                </c:pt>
                <c:pt idx="21">
                  <c:v>Day 22</c:v>
                </c:pt>
                <c:pt idx="22">
                  <c:v>Day 23</c:v>
                </c:pt>
                <c:pt idx="23">
                  <c:v>Day 24</c:v>
                </c:pt>
                <c:pt idx="24">
                  <c:v>Day 25</c:v>
                </c:pt>
                <c:pt idx="25">
                  <c:v>Day 26</c:v>
                </c:pt>
                <c:pt idx="26">
                  <c:v>Day 27</c:v>
                </c:pt>
                <c:pt idx="27">
                  <c:v>Day 28</c:v>
                </c:pt>
                <c:pt idx="28">
                  <c:v>Day 29</c:v>
                </c:pt>
                <c:pt idx="29">
                  <c:v>Day 30</c:v>
                </c:pt>
                <c:pt idx="30">
                  <c:v>Day 31</c:v>
                </c:pt>
                <c:pt idx="31">
                  <c:v>Day 32</c:v>
                </c:pt>
                <c:pt idx="32">
                  <c:v>Day 33</c:v>
                </c:pt>
                <c:pt idx="33">
                  <c:v>Day 34</c:v>
                </c:pt>
                <c:pt idx="34">
                  <c:v>Day 35</c:v>
                </c:pt>
                <c:pt idx="35">
                  <c:v>Day 36</c:v>
                </c:pt>
                <c:pt idx="36">
                  <c:v>Day 37</c:v>
                </c:pt>
                <c:pt idx="37">
                  <c:v>Day 38</c:v>
                </c:pt>
                <c:pt idx="38">
                  <c:v>Day 39</c:v>
                </c:pt>
                <c:pt idx="39">
                  <c:v>Day 40</c:v>
                </c:pt>
                <c:pt idx="40">
                  <c:v>Day 41</c:v>
                </c:pt>
                <c:pt idx="41">
                  <c:v>Day 42</c:v>
                </c:pt>
                <c:pt idx="42">
                  <c:v>Day 43</c:v>
                </c:pt>
                <c:pt idx="43">
                  <c:v>Day 44</c:v>
                </c:pt>
                <c:pt idx="44">
                  <c:v>Day 45</c:v>
                </c:pt>
                <c:pt idx="45">
                  <c:v>Day 46</c:v>
                </c:pt>
                <c:pt idx="46">
                  <c:v>Day 47</c:v>
                </c:pt>
                <c:pt idx="47">
                  <c:v>Day 48</c:v>
                </c:pt>
                <c:pt idx="48">
                  <c:v>Day 49</c:v>
                </c:pt>
                <c:pt idx="49">
                  <c:v>Day 50</c:v>
                </c:pt>
                <c:pt idx="50">
                  <c:v>Day 51</c:v>
                </c:pt>
                <c:pt idx="51">
                  <c:v>Day 52</c:v>
                </c:pt>
                <c:pt idx="52">
                  <c:v>Day 53</c:v>
                </c:pt>
                <c:pt idx="53">
                  <c:v>Day 54</c:v>
                </c:pt>
                <c:pt idx="54">
                  <c:v>Day 55</c:v>
                </c:pt>
                <c:pt idx="55">
                  <c:v>Day 56</c:v>
                </c:pt>
                <c:pt idx="56">
                  <c:v>Day 57</c:v>
                </c:pt>
              </c:strCache>
            </c:strRef>
          </c:cat>
          <c:val>
            <c:numRef>
              <c:f>Meal_Itinerary!$F$3:$F$63</c:f>
              <c:numCache>
                <c:formatCode>0</c:formatCode>
                <c:ptCount val="61"/>
                <c:pt idx="0">
                  <c:v>3645.9571428571426</c:v>
                </c:pt>
                <c:pt idx="1">
                  <c:v>3635.8571428571427</c:v>
                </c:pt>
                <c:pt idx="2">
                  <c:v>3520.1571428571428</c:v>
                </c:pt>
                <c:pt idx="3">
                  <c:v>3606.9571428571426</c:v>
                </c:pt>
                <c:pt idx="4">
                  <c:v>3520.8571428571427</c:v>
                </c:pt>
                <c:pt idx="5">
                  <c:v>3645.9571428571426</c:v>
                </c:pt>
                <c:pt idx="6">
                  <c:v>3635.8571428571427</c:v>
                </c:pt>
                <c:pt idx="7">
                  <c:v>3520.1571428571428</c:v>
                </c:pt>
                <c:pt idx="8">
                  <c:v>3606.9571428571426</c:v>
                </c:pt>
                <c:pt idx="9">
                  <c:v>3520.8571428571427</c:v>
                </c:pt>
                <c:pt idx="10">
                  <c:v>3645.9571428571426</c:v>
                </c:pt>
                <c:pt idx="11">
                  <c:v>3635.8571428571427</c:v>
                </c:pt>
                <c:pt idx="12">
                  <c:v>3520.1571428571428</c:v>
                </c:pt>
                <c:pt idx="13">
                  <c:v>3606.9571428571426</c:v>
                </c:pt>
                <c:pt idx="14">
                  <c:v>3520.8571428571427</c:v>
                </c:pt>
                <c:pt idx="15">
                  <c:v>3645.9571428571426</c:v>
                </c:pt>
                <c:pt idx="16">
                  <c:v>3635.8571428571427</c:v>
                </c:pt>
                <c:pt idx="17">
                  <c:v>3520.1571428571428</c:v>
                </c:pt>
                <c:pt idx="18">
                  <c:v>3606.9571428571426</c:v>
                </c:pt>
                <c:pt idx="19">
                  <c:v>3520.8571428571427</c:v>
                </c:pt>
                <c:pt idx="20">
                  <c:v>3645.9571428571426</c:v>
                </c:pt>
                <c:pt idx="21">
                  <c:v>3635.8571428571427</c:v>
                </c:pt>
                <c:pt idx="22">
                  <c:v>3520.1571428571428</c:v>
                </c:pt>
                <c:pt idx="23">
                  <c:v>3606.9571428571426</c:v>
                </c:pt>
                <c:pt idx="24">
                  <c:v>3520.8571428571427</c:v>
                </c:pt>
                <c:pt idx="25">
                  <c:v>3645.9571428571426</c:v>
                </c:pt>
                <c:pt idx="26">
                  <c:v>3635.8571428571427</c:v>
                </c:pt>
                <c:pt idx="27">
                  <c:v>3520.1571428571428</c:v>
                </c:pt>
                <c:pt idx="28">
                  <c:v>3606.9571428571426</c:v>
                </c:pt>
                <c:pt idx="29">
                  <c:v>3520.8571428571427</c:v>
                </c:pt>
                <c:pt idx="30">
                  <c:v>3645.9571428571426</c:v>
                </c:pt>
                <c:pt idx="31">
                  <c:v>3635.8571428571427</c:v>
                </c:pt>
                <c:pt idx="32">
                  <c:v>3520.1571428571428</c:v>
                </c:pt>
                <c:pt idx="33">
                  <c:v>3606.9571428571426</c:v>
                </c:pt>
                <c:pt idx="34">
                  <c:v>3520.8571428571427</c:v>
                </c:pt>
                <c:pt idx="35">
                  <c:v>3645.9571428571426</c:v>
                </c:pt>
                <c:pt idx="36">
                  <c:v>3635.8571428571427</c:v>
                </c:pt>
                <c:pt idx="37">
                  <c:v>3520.1571428571428</c:v>
                </c:pt>
                <c:pt idx="38">
                  <c:v>3606.9571428571426</c:v>
                </c:pt>
                <c:pt idx="39">
                  <c:v>3520.8571428571427</c:v>
                </c:pt>
                <c:pt idx="40">
                  <c:v>3645.9571428571426</c:v>
                </c:pt>
                <c:pt idx="41">
                  <c:v>3635.8571428571427</c:v>
                </c:pt>
                <c:pt idx="42">
                  <c:v>3520.1571428571428</c:v>
                </c:pt>
                <c:pt idx="43">
                  <c:v>3606.9571428571426</c:v>
                </c:pt>
                <c:pt idx="44">
                  <c:v>3520.8571428571427</c:v>
                </c:pt>
                <c:pt idx="45">
                  <c:v>3645.9571428571426</c:v>
                </c:pt>
                <c:pt idx="46">
                  <c:v>3635.8571428571427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12-4328-8288-A5D48D2568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71271808"/>
        <c:axId val="271273344"/>
      </c:lineChart>
      <c:catAx>
        <c:axId val="271271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271273344"/>
        <c:crosses val="autoZero"/>
        <c:auto val="1"/>
        <c:lblAlgn val="ctr"/>
        <c:lblOffset val="100"/>
        <c:noMultiLvlLbl val="0"/>
      </c:catAx>
      <c:valAx>
        <c:axId val="271273344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271271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352425</xdr:colOff>
      <xdr:row>1</xdr:row>
      <xdr:rowOff>466724</xdr:rowOff>
    </xdr:from>
    <xdr:to>
      <xdr:col>35</xdr:col>
      <xdr:colOff>257175</xdr:colOff>
      <xdr:row>18</xdr:row>
      <xdr:rowOff>76200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mazon.ca/SNICKERS-Singles-Chocolate-1-86-Ounce-48-Count/dp/B001HXI0V0/ref=sr_1_2?s=grocery&amp;ie=UTF8&amp;qid=1517863885&amp;sr=1-2&amp;keywords=snickers&amp;th=1" TargetMode="External"/><Relationship Id="rId7" Type="http://schemas.openxmlformats.org/officeDocument/2006/relationships/hyperlink" Target="https://www.realcanadiansuperstore.ca/Food/Pantry/Cookies%2C-Crackers-%26-Candy/Chocolate-Bars/Milk-Chocolate-with-Almonds-Bar/p/20687591001_EA?isPDPFlow=Y" TargetMode="External"/><Relationship Id="rId2" Type="http://schemas.openxmlformats.org/officeDocument/2006/relationships/hyperlink" Target="https://www.amazon.ca/Snickers-Single-Chocolate-Candy-1-86oz/dp/B00C7GJREA/ref=sr_1_11?s=grocery&amp;ie=UTF8&amp;qid=1517863885&amp;sr=1-11&amp;keywords=snickers" TargetMode="External"/><Relationship Id="rId1" Type="http://schemas.openxmlformats.org/officeDocument/2006/relationships/hyperlink" Target="https://www.iga.net/en/product/tuna-pouch-rip-n-ready/00000_000000006136243315" TargetMode="External"/><Relationship Id="rId6" Type="http://schemas.openxmlformats.org/officeDocument/2006/relationships/hyperlink" Target="https://candyfunhouse.ca/products/hersheys-milk-chocolate-bar-w-almonds?variant=966297341" TargetMode="External"/><Relationship Id="rId5" Type="http://schemas.openxmlformats.org/officeDocument/2006/relationships/hyperlink" Target="https://www.amazon.ca/Snickers-Chocolate-4-Pack-208g/dp/B00LAEGA3G/ref=sr_1_1?s=grocery&amp;ie=UTF8&amp;qid=1517863885&amp;sr=1-1&amp;keywords=snickers" TargetMode="External"/><Relationship Id="rId4" Type="http://schemas.openxmlformats.org/officeDocument/2006/relationships/hyperlink" Target="https://www.amazon.ca/SNICKERS-Singles-Chocolate-1-86-Ounce-48-Count/dp/B001HXI0V0/ref=sr_1_2?s=grocery&amp;ie=UTF8&amp;qid=1517863885&amp;sr=1-2&amp;keywords=snickers&amp;th=1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59999389629810485"/>
  </sheetPr>
  <dimension ref="A1:AA118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J80" sqref="J80"/>
    </sheetView>
  </sheetViews>
  <sheetFormatPr defaultRowHeight="15" x14ac:dyDescent="0.25"/>
  <cols>
    <col min="1" max="1" width="39.7109375" customWidth="1"/>
    <col min="2" max="3" width="11.140625" hidden="1" customWidth="1"/>
    <col min="4" max="4" width="10.28515625" hidden="1" customWidth="1"/>
    <col min="5" max="5" width="22.5703125" customWidth="1"/>
    <col min="6" max="6" width="10.85546875" customWidth="1"/>
    <col min="7" max="7" width="9.140625" style="5"/>
    <col min="8" max="11" width="15.85546875" customWidth="1"/>
    <col min="12" max="14" width="15.85546875" style="73" customWidth="1"/>
    <col min="15" max="16" width="15.85546875" customWidth="1"/>
    <col min="17" max="23" width="3.5703125" customWidth="1"/>
    <col min="24" max="24" width="93.42578125" style="105" customWidth="1"/>
    <col min="25" max="30" width="20.140625" customWidth="1"/>
  </cols>
  <sheetData>
    <row r="1" spans="1:24" ht="46.5" thickTop="1" thickBot="1" x14ac:dyDescent="0.3">
      <c r="A1" s="88" t="s">
        <v>1</v>
      </c>
      <c r="B1" s="110" t="s">
        <v>2</v>
      </c>
      <c r="C1" s="110" t="s">
        <v>3</v>
      </c>
      <c r="D1" s="110" t="s">
        <v>4</v>
      </c>
      <c r="E1" s="89" t="s">
        <v>5</v>
      </c>
      <c r="F1" s="89" t="s">
        <v>6</v>
      </c>
      <c r="G1" s="89" t="s">
        <v>7</v>
      </c>
      <c r="H1" s="89" t="s">
        <v>8</v>
      </c>
      <c r="I1" s="89" t="s">
        <v>9</v>
      </c>
      <c r="J1" s="89" t="s">
        <v>10</v>
      </c>
      <c r="K1" s="89" t="s">
        <v>11</v>
      </c>
      <c r="L1" s="89" t="s">
        <v>12</v>
      </c>
      <c r="M1" s="89" t="s">
        <v>13</v>
      </c>
      <c r="N1" s="89" t="s">
        <v>14</v>
      </c>
      <c r="O1" s="89" t="s">
        <v>15</v>
      </c>
      <c r="P1" s="90" t="s">
        <v>16</v>
      </c>
      <c r="Q1" s="176">
        <v>1</v>
      </c>
      <c r="R1" s="176">
        <v>2</v>
      </c>
      <c r="S1" s="176">
        <v>3</v>
      </c>
      <c r="T1" s="176">
        <v>4</v>
      </c>
      <c r="U1" s="176">
        <v>5</v>
      </c>
      <c r="V1" s="176">
        <v>6</v>
      </c>
      <c r="W1" s="176">
        <v>7</v>
      </c>
    </row>
    <row r="2" spans="1:24" s="3" customFormat="1" ht="15.75" thickTop="1" x14ac:dyDescent="0.25">
      <c r="A2" s="120" t="s">
        <v>17</v>
      </c>
      <c r="B2" s="121">
        <v>30</v>
      </c>
      <c r="C2" s="121">
        <v>310</v>
      </c>
      <c r="D2" s="121">
        <v>1</v>
      </c>
      <c r="E2" s="122" t="s">
        <v>18</v>
      </c>
      <c r="F2" s="123">
        <f>45*2</f>
        <v>90</v>
      </c>
      <c r="G2" s="76">
        <f>160*2</f>
        <v>320</v>
      </c>
      <c r="H2" s="76">
        <f>SUMIF(Recipes!B:B,A2,Recipes!G:G)</f>
        <v>17.5</v>
      </c>
      <c r="I2" s="76">
        <f>H2*F2</f>
        <v>1575</v>
      </c>
      <c r="J2" s="76">
        <f>I2/1000</f>
        <v>1.575</v>
      </c>
      <c r="K2" s="77" t="s">
        <v>19</v>
      </c>
      <c r="L2" s="78" t="str">
        <f>IF(K2="g",CONCATENATE(I2," g"),IF(K2="kg",CONCATENATE(J2," kg"),CONCATENATE(H2," ",E2)))</f>
        <v>1.575 kg</v>
      </c>
      <c r="M2" s="78">
        <v>2.6</v>
      </c>
      <c r="N2" s="78" t="str">
        <f>IF(K2="g",CONCATENATE(ROUND(I2-M2,2)," g"),IF(K2="kg",CONCATENATE(ROUND(J2-M2,2)," kg"),CONCATENATE(ROUND(H2-M2,1)," x ",E2)))</f>
        <v>-1.03 kg</v>
      </c>
      <c r="O2" s="79" t="str">
        <f>IFERROR(VLOOKUP(CONCATENATE(A2,"-","Y"),'Price Comparison'!$C$2:$E$101,3,FALSE),"TBC")</f>
        <v>TBC</v>
      </c>
      <c r="P2" s="80"/>
      <c r="Q2" s="32"/>
      <c r="R2" s="32"/>
      <c r="S2" s="32"/>
      <c r="T2" s="32"/>
      <c r="U2" s="32"/>
      <c r="V2" s="32"/>
      <c r="W2" s="32"/>
      <c r="X2" s="105"/>
    </row>
    <row r="3" spans="1:24" x14ac:dyDescent="0.25">
      <c r="A3" s="124" t="s">
        <v>20</v>
      </c>
      <c r="B3" s="125">
        <v>85</v>
      </c>
      <c r="C3" s="125">
        <v>90</v>
      </c>
      <c r="D3" s="125">
        <v>1</v>
      </c>
      <c r="E3" s="1" t="s">
        <v>21</v>
      </c>
      <c r="F3" s="14">
        <v>85</v>
      </c>
      <c r="G3" s="11">
        <v>90</v>
      </c>
      <c r="H3" s="11">
        <f>SUMIF(Recipes!B:B,A3,Recipes!G:G)</f>
        <v>17.5</v>
      </c>
      <c r="I3" s="24">
        <f t="shared" ref="I3:I77" si="0">H3*F3</f>
        <v>1487.5</v>
      </c>
      <c r="J3" s="24">
        <f t="shared" ref="J3:J77" si="1">I3/1000</f>
        <v>1.4875</v>
      </c>
      <c r="K3" s="178"/>
      <c r="L3" s="74" t="str">
        <f t="shared" ref="L3:L77" si="2">IF(K3="g",CONCATENATE(I3," g"),IF(K3="kg",CONCATENATE(J3," kg"),CONCATENATE(H3," ",E3)))</f>
        <v>17.5 package</v>
      </c>
      <c r="M3" s="74">
        <f>30-2-4</f>
        <v>24</v>
      </c>
      <c r="N3" s="74" t="str">
        <f t="shared" ref="N3:N68" si="3">IF(K3="g",CONCATENATE(ROUND(I3-M3,2)," g"),IF(K3="kg",CONCATENATE(ROUND(J3-M3,2)," kg"),CONCATENATE(ROUND(H3-M3,1)," x ",E3)))</f>
        <v>-6.5 x package</v>
      </c>
      <c r="O3" s="75" t="str">
        <f>IFERROR(VLOOKUP(CONCATENATE(A3,"-","Y"),'Price Comparison'!$C$2:$E$101,3,FALSE),"TBC")</f>
        <v>TBC</v>
      </c>
      <c r="P3" s="81"/>
      <c r="Q3" s="32" t="s">
        <v>22</v>
      </c>
      <c r="R3" s="32" t="s">
        <v>22</v>
      </c>
      <c r="S3" s="32" t="s">
        <v>22</v>
      </c>
      <c r="T3" s="32" t="s">
        <v>22</v>
      </c>
      <c r="U3" s="32" t="s">
        <v>22</v>
      </c>
      <c r="V3" s="32" t="s">
        <v>22</v>
      </c>
      <c r="W3" s="32" t="s">
        <v>22</v>
      </c>
      <c r="X3" s="105" t="s">
        <v>23</v>
      </c>
    </row>
    <row r="4" spans="1:24" x14ac:dyDescent="0.25">
      <c r="A4" s="124" t="s">
        <v>24</v>
      </c>
      <c r="B4" s="125">
        <v>15</v>
      </c>
      <c r="C4" s="125">
        <v>60</v>
      </c>
      <c r="D4" s="125">
        <v>1</v>
      </c>
      <c r="E4" s="1" t="s">
        <v>25</v>
      </c>
      <c r="F4" s="14">
        <v>15</v>
      </c>
      <c r="G4" s="11">
        <v>60</v>
      </c>
      <c r="H4" s="11">
        <f>SUMIF(Recipes!B:B,A4,Recipes!G:G)</f>
        <v>65</v>
      </c>
      <c r="I4" s="24">
        <f t="shared" si="0"/>
        <v>975</v>
      </c>
      <c r="J4" s="24">
        <f t="shared" si="1"/>
        <v>0.97499999999999998</v>
      </c>
      <c r="K4" s="178" t="s">
        <v>26</v>
      </c>
      <c r="L4" s="74" t="str">
        <f t="shared" si="2"/>
        <v>975 g</v>
      </c>
      <c r="M4" s="74">
        <f>250+680</f>
        <v>930</v>
      </c>
      <c r="N4" s="74" t="str">
        <f t="shared" si="3"/>
        <v>45 g</v>
      </c>
      <c r="O4" s="75" t="str">
        <f>IFERROR(VLOOKUP(CONCATENATE(A4,"-","Y"),'Price Comparison'!$C$2:$E$101,3,FALSE),"TBC")</f>
        <v>TBC</v>
      </c>
      <c r="P4" s="81"/>
      <c r="Q4" s="32"/>
      <c r="R4" s="32"/>
      <c r="S4" s="32"/>
      <c r="T4" s="32"/>
      <c r="U4" s="32"/>
      <c r="V4" s="32"/>
      <c r="W4" s="32"/>
      <c r="X4" s="165" t="s">
        <v>27</v>
      </c>
    </row>
    <row r="5" spans="1:24" ht="30" x14ac:dyDescent="0.25">
      <c r="A5" s="124" t="s">
        <v>28</v>
      </c>
      <c r="B5" s="125">
        <v>14</v>
      </c>
      <c r="C5" s="125">
        <v>121</v>
      </c>
      <c r="D5" s="125">
        <v>1</v>
      </c>
      <c r="E5" s="1" t="s">
        <v>25</v>
      </c>
      <c r="F5" s="14">
        <v>14</v>
      </c>
      <c r="G5" s="11">
        <v>120</v>
      </c>
      <c r="H5" s="11">
        <f>SUMIF(Recipes!B:B,A5,Recipes!G:G)</f>
        <v>97</v>
      </c>
      <c r="I5" s="24">
        <f t="shared" si="0"/>
        <v>1358</v>
      </c>
      <c r="J5" s="24">
        <f t="shared" si="1"/>
        <v>1.3580000000000001</v>
      </c>
      <c r="K5" s="178"/>
      <c r="L5" s="74" t="str">
        <f t="shared" si="2"/>
        <v>97 tablespoon</v>
      </c>
      <c r="M5" s="74">
        <f>(3*750)*0.067628</f>
        <v>152.16299999999998</v>
      </c>
      <c r="N5" s="74" t="str">
        <f t="shared" si="3"/>
        <v>-55.2 x tablespoon</v>
      </c>
      <c r="O5" s="75" t="str">
        <f>IFERROR(VLOOKUP(CONCATENATE(A5,"-","Y"),'Price Comparison'!$C$2:$E$101,3,FALSE),"TBC")</f>
        <v>TBC</v>
      </c>
      <c r="P5" s="81"/>
      <c r="Q5" s="32"/>
      <c r="R5" s="32"/>
      <c r="S5" s="32"/>
      <c r="T5" s="32"/>
      <c r="U5" s="32"/>
      <c r="V5" s="32"/>
      <c r="W5" s="32"/>
      <c r="X5" s="105" t="s">
        <v>29</v>
      </c>
    </row>
    <row r="6" spans="1:24" hidden="1" x14ac:dyDescent="0.25">
      <c r="A6" s="124" t="s">
        <v>30</v>
      </c>
      <c r="B6" s="125"/>
      <c r="C6" s="125"/>
      <c r="D6" s="125">
        <v>1</v>
      </c>
      <c r="E6" s="1" t="s">
        <v>21</v>
      </c>
      <c r="F6" s="14"/>
      <c r="G6" s="11">
        <v>140</v>
      </c>
      <c r="H6" s="11">
        <f>SUMIF(Recipes!B:B,A6,Recipes!G:G)</f>
        <v>0</v>
      </c>
      <c r="I6" s="24">
        <f t="shared" si="0"/>
        <v>0</v>
      </c>
      <c r="J6" s="24">
        <f t="shared" si="1"/>
        <v>0</v>
      </c>
      <c r="K6" s="178"/>
      <c r="L6" s="74" t="str">
        <f t="shared" si="2"/>
        <v>0 package</v>
      </c>
      <c r="M6" s="74">
        <v>0</v>
      </c>
      <c r="N6" s="74" t="str">
        <f t="shared" si="3"/>
        <v>0 x package</v>
      </c>
      <c r="O6" s="75" t="str">
        <f>IFERROR(VLOOKUP(CONCATENATE(A6,"-","Y"),'Price Comparison'!$C$2:$E$101,3,FALSE),"TBC")</f>
        <v>TBC</v>
      </c>
      <c r="P6" s="81"/>
      <c r="Q6" s="32"/>
      <c r="R6" s="32"/>
      <c r="S6" s="32"/>
      <c r="T6" s="32"/>
      <c r="U6" s="32"/>
      <c r="V6" s="32"/>
      <c r="W6" s="32"/>
      <c r="X6" s="105" t="s">
        <v>31</v>
      </c>
    </row>
    <row r="7" spans="1:24" x14ac:dyDescent="0.25">
      <c r="A7" s="124" t="s">
        <v>32</v>
      </c>
      <c r="B7" s="125">
        <v>100</v>
      </c>
      <c r="C7" s="125">
        <v>567</v>
      </c>
      <c r="D7" s="125">
        <v>1</v>
      </c>
      <c r="E7" s="1" t="s">
        <v>18</v>
      </c>
      <c r="F7" s="14">
        <v>150</v>
      </c>
      <c r="G7" s="11">
        <v>828</v>
      </c>
      <c r="H7" s="11">
        <f>SUMIF(Recipes!B:B,A7,Recipes!G:G)</f>
        <v>2.1</v>
      </c>
      <c r="I7" s="24">
        <f t="shared" si="0"/>
        <v>315</v>
      </c>
      <c r="J7" s="24">
        <f t="shared" si="1"/>
        <v>0.315</v>
      </c>
      <c r="K7" s="178" t="s">
        <v>26</v>
      </c>
      <c r="L7" s="74" t="str">
        <f t="shared" si="2"/>
        <v>315 g</v>
      </c>
      <c r="M7" s="74">
        <f>190+150</f>
        <v>340</v>
      </c>
      <c r="N7" s="74" t="str">
        <f t="shared" si="3"/>
        <v>-25 g</v>
      </c>
      <c r="O7" s="75" t="str">
        <f>IFERROR(VLOOKUP(CONCATENATE(A7,"-","Y"),'Price Comparison'!$C$2:$E$101,3,FALSE),"TBC")</f>
        <v>TBC</v>
      </c>
      <c r="P7" s="81"/>
      <c r="Q7" s="32"/>
      <c r="R7" s="32"/>
      <c r="S7" s="32"/>
      <c r="T7" s="32"/>
      <c r="U7" s="32"/>
      <c r="V7" s="32"/>
      <c r="W7" s="32"/>
    </row>
    <row r="8" spans="1:24" hidden="1" x14ac:dyDescent="0.25">
      <c r="A8" s="124" t="s">
        <v>33</v>
      </c>
      <c r="B8" s="125"/>
      <c r="C8" s="125"/>
      <c r="D8" s="125">
        <v>1</v>
      </c>
      <c r="E8" s="1" t="s">
        <v>18</v>
      </c>
      <c r="F8" s="14">
        <f>27*2</f>
        <v>54</v>
      </c>
      <c r="G8" s="11">
        <f>100*2</f>
        <v>200</v>
      </c>
      <c r="H8" s="11">
        <f>SUMIF(Recipes!B:B,A8,Recipes!G:G)</f>
        <v>0</v>
      </c>
      <c r="I8" s="24">
        <f t="shared" si="0"/>
        <v>0</v>
      </c>
      <c r="J8" s="24">
        <f t="shared" si="1"/>
        <v>0</v>
      </c>
      <c r="K8" s="178" t="s">
        <v>26</v>
      </c>
      <c r="L8" s="74" t="str">
        <f t="shared" si="2"/>
        <v>0 g</v>
      </c>
      <c r="M8" s="74">
        <v>0</v>
      </c>
      <c r="N8" s="74" t="str">
        <f t="shared" si="3"/>
        <v>0 g</v>
      </c>
      <c r="O8" s="75" t="str">
        <f>IFERROR(VLOOKUP(CONCATENATE(A8,"-","Y"),'Price Comparison'!$C$2:$E$101,3,FALSE),"TBC")</f>
        <v>TBC</v>
      </c>
      <c r="P8" s="81"/>
      <c r="Q8" s="32"/>
      <c r="R8" s="32"/>
      <c r="S8" s="32"/>
      <c r="T8" s="32"/>
      <c r="U8" s="32"/>
      <c r="V8" s="32"/>
      <c r="W8" s="32"/>
    </row>
    <row r="9" spans="1:24" ht="45" x14ac:dyDescent="0.25">
      <c r="A9" s="124" t="s">
        <v>34</v>
      </c>
      <c r="B9" s="125">
        <v>75</v>
      </c>
      <c r="C9" s="125">
        <v>280</v>
      </c>
      <c r="D9" s="125">
        <v>1</v>
      </c>
      <c r="E9" s="1" t="s">
        <v>35</v>
      </c>
      <c r="F9" s="14">
        <v>45</v>
      </c>
      <c r="G9" s="11">
        <v>168</v>
      </c>
      <c r="H9" s="11">
        <f>SUMIF(Recipes!B:B,A9,Recipes!G:G)</f>
        <v>109</v>
      </c>
      <c r="I9" s="24">
        <f t="shared" si="0"/>
        <v>4905</v>
      </c>
      <c r="J9" s="24">
        <f t="shared" si="1"/>
        <v>4.9050000000000002</v>
      </c>
      <c r="K9" s="178"/>
      <c r="L9" s="74" t="str">
        <f t="shared" si="2"/>
        <v>109 Brick of noodles (1/5 of package)</v>
      </c>
      <c r="M9" s="74">
        <f>6+(11*5)+10*5</f>
        <v>111</v>
      </c>
      <c r="N9" s="74" t="str">
        <f t="shared" si="3"/>
        <v>-2 x Brick of noodles (1/5 of package)</v>
      </c>
      <c r="O9" s="75" t="str">
        <f>IFERROR(VLOOKUP(CONCATENATE(A9,"-","Y"),'Price Comparison'!$C$2:$E$101,3,FALSE),"TBC")</f>
        <v>TBC</v>
      </c>
      <c r="P9" s="81"/>
      <c r="Q9" s="32"/>
      <c r="R9" s="32"/>
      <c r="S9" s="32"/>
      <c r="T9" s="32"/>
      <c r="U9" s="32"/>
      <c r="V9" s="32"/>
      <c r="W9" s="32"/>
    </row>
    <row r="10" spans="1:24" x14ac:dyDescent="0.25">
      <c r="A10" s="124" t="s">
        <v>36</v>
      </c>
      <c r="B10" s="125">
        <v>30</v>
      </c>
      <c r="C10" s="125">
        <v>160</v>
      </c>
      <c r="D10" s="125">
        <v>1</v>
      </c>
      <c r="E10" s="1" t="s">
        <v>25</v>
      </c>
      <c r="F10" s="14">
        <f>ROUND(30/3,1)</f>
        <v>10</v>
      </c>
      <c r="G10" s="11">
        <f>ROUND(160/3,1)</f>
        <v>53.3</v>
      </c>
      <c r="H10" s="11">
        <f>SUMIF(Recipes!B:B,A10,Recipes!G:G)</f>
        <v>57</v>
      </c>
      <c r="I10" s="24">
        <f t="shared" si="0"/>
        <v>570</v>
      </c>
      <c r="J10" s="24">
        <f t="shared" si="1"/>
        <v>0.56999999999999995</v>
      </c>
      <c r="K10" s="178" t="s">
        <v>26</v>
      </c>
      <c r="L10" s="74" t="str">
        <f t="shared" si="2"/>
        <v>570 g</v>
      </c>
      <c r="M10" s="74">
        <f>500+500</f>
        <v>1000</v>
      </c>
      <c r="N10" s="74" t="str">
        <f t="shared" si="3"/>
        <v>-430 g</v>
      </c>
      <c r="O10" s="75" t="str">
        <f>IFERROR(VLOOKUP(CONCATENATE(A10,"-","Y"),'Price Comparison'!$C$2:$E$101,3,FALSE),"TBC")</f>
        <v>TBC</v>
      </c>
      <c r="P10" s="81"/>
      <c r="Q10" s="32" t="s">
        <v>22</v>
      </c>
      <c r="R10" s="32" t="s">
        <v>22</v>
      </c>
      <c r="S10" s="32" t="s">
        <v>22</v>
      </c>
      <c r="T10" s="32" t="s">
        <v>22</v>
      </c>
      <c r="U10" s="32" t="s">
        <v>22</v>
      </c>
      <c r="V10" s="32" t="s">
        <v>22</v>
      </c>
      <c r="W10" s="32" t="s">
        <v>22</v>
      </c>
    </row>
    <row r="11" spans="1:24" hidden="1" x14ac:dyDescent="0.25">
      <c r="A11" s="124" t="s">
        <v>37</v>
      </c>
      <c r="B11" s="125"/>
      <c r="C11" s="125"/>
      <c r="D11" s="125">
        <v>1</v>
      </c>
      <c r="E11" s="1" t="s">
        <v>25</v>
      </c>
      <c r="F11" s="14"/>
      <c r="G11" s="11"/>
      <c r="H11" s="11">
        <f>SUMIF(Recipes!B:B,A11,Recipes!G:G)</f>
        <v>0</v>
      </c>
      <c r="I11" s="24">
        <f t="shared" si="0"/>
        <v>0</v>
      </c>
      <c r="J11" s="24">
        <f t="shared" si="1"/>
        <v>0</v>
      </c>
      <c r="K11" s="178"/>
      <c r="L11" s="74" t="str">
        <f t="shared" si="2"/>
        <v>0 tablespoon</v>
      </c>
      <c r="M11" s="74">
        <v>0</v>
      </c>
      <c r="N11" s="74" t="str">
        <f t="shared" si="3"/>
        <v>0 x tablespoon</v>
      </c>
      <c r="O11" s="75" t="str">
        <f>IFERROR(VLOOKUP(CONCATENATE(A11,"-","Y"),'Price Comparison'!$C$2:$E$101,3,FALSE),"TBC")</f>
        <v>TBC</v>
      </c>
      <c r="P11" s="81"/>
      <c r="Q11" s="32"/>
      <c r="R11" s="32"/>
      <c r="S11" s="32"/>
      <c r="T11" s="32"/>
      <c r="U11" s="32"/>
      <c r="V11" s="32"/>
      <c r="W11" s="32"/>
    </row>
    <row r="12" spans="1:24" hidden="1" x14ac:dyDescent="0.25">
      <c r="A12" s="124" t="s">
        <v>38</v>
      </c>
      <c r="B12" s="125"/>
      <c r="C12" s="125"/>
      <c r="D12" s="125">
        <v>1</v>
      </c>
      <c r="E12" s="1" t="s">
        <v>21</v>
      </c>
      <c r="F12" s="14"/>
      <c r="G12" s="11">
        <f>70*4</f>
        <v>280</v>
      </c>
      <c r="H12" s="11">
        <f>SUMIF(Recipes!B:B,A12,Recipes!G:G)</f>
        <v>0</v>
      </c>
      <c r="I12" s="24">
        <f t="shared" si="0"/>
        <v>0</v>
      </c>
      <c r="J12" s="24">
        <f t="shared" si="1"/>
        <v>0</v>
      </c>
      <c r="K12" s="178"/>
      <c r="L12" s="74" t="str">
        <f t="shared" si="2"/>
        <v>0 package</v>
      </c>
      <c r="M12" s="74">
        <v>0</v>
      </c>
      <c r="N12" s="74" t="str">
        <f t="shared" si="3"/>
        <v>0 x package</v>
      </c>
      <c r="O12" s="75" t="str">
        <f>IFERROR(VLOOKUP(CONCATENATE(A12,"-","Y"),'Price Comparison'!$C$2:$E$101,3,FALSE),"TBC")</f>
        <v>TBC</v>
      </c>
      <c r="P12" s="81"/>
      <c r="Q12" s="32"/>
      <c r="R12" s="32"/>
      <c r="S12" s="32"/>
      <c r="T12" s="32"/>
      <c r="U12" s="32"/>
      <c r="V12" s="32"/>
      <c r="W12" s="32"/>
    </row>
    <row r="13" spans="1:24" hidden="1" x14ac:dyDescent="0.25">
      <c r="A13" s="124" t="s">
        <v>39</v>
      </c>
      <c r="B13" s="125"/>
      <c r="C13" s="125"/>
      <c r="D13" s="125">
        <v>1</v>
      </c>
      <c r="E13" s="1" t="s">
        <v>25</v>
      </c>
      <c r="F13" s="14"/>
      <c r="G13" s="11">
        <v>20</v>
      </c>
      <c r="H13" s="11">
        <f>SUMIF(Recipes!B:B,A13,Recipes!G:G)</f>
        <v>0</v>
      </c>
      <c r="I13" s="24">
        <f t="shared" si="0"/>
        <v>0</v>
      </c>
      <c r="J13" s="24">
        <f t="shared" si="1"/>
        <v>0</v>
      </c>
      <c r="K13" s="178"/>
      <c r="L13" s="74" t="str">
        <f t="shared" si="2"/>
        <v>0 tablespoon</v>
      </c>
      <c r="M13" s="74">
        <v>0</v>
      </c>
      <c r="N13" s="74" t="str">
        <f t="shared" si="3"/>
        <v>0 x tablespoon</v>
      </c>
      <c r="O13" s="75" t="str">
        <f>IFERROR(VLOOKUP(CONCATENATE(A13,"-","Y"),'Price Comparison'!$C$2:$E$101,3,FALSE),"TBC")</f>
        <v>TBC</v>
      </c>
      <c r="P13" s="81"/>
      <c r="Q13" s="32"/>
      <c r="R13" s="32"/>
      <c r="S13" s="32"/>
      <c r="T13" s="32"/>
      <c r="U13" s="32"/>
      <c r="V13" s="32"/>
      <c r="W13" s="32"/>
    </row>
    <row r="14" spans="1:24" hidden="1" x14ac:dyDescent="0.25">
      <c r="A14" s="124" t="s">
        <v>40</v>
      </c>
      <c r="B14" s="125"/>
      <c r="C14" s="125"/>
      <c r="D14" s="125">
        <v>1</v>
      </c>
      <c r="E14" s="1" t="s">
        <v>18</v>
      </c>
      <c r="F14" s="14"/>
      <c r="G14" s="11">
        <v>230</v>
      </c>
      <c r="H14" s="11">
        <f>SUMIF(Recipes!B:B,A14,Recipes!G:G)</f>
        <v>0</v>
      </c>
      <c r="I14" s="24">
        <f t="shared" si="0"/>
        <v>0</v>
      </c>
      <c r="J14" s="24">
        <f t="shared" si="1"/>
        <v>0</v>
      </c>
      <c r="K14" s="178"/>
      <c r="L14" s="74" t="str">
        <f t="shared" si="2"/>
        <v>0 cup</v>
      </c>
      <c r="M14" s="74">
        <v>0</v>
      </c>
      <c r="N14" s="74" t="str">
        <f t="shared" si="3"/>
        <v>0 x cup</v>
      </c>
      <c r="O14" s="75" t="str">
        <f>IFERROR(VLOOKUP(CONCATENATE(A14,"-","Y"),'Price Comparison'!$C$2:$E$101,3,FALSE),"TBC")</f>
        <v>TBC</v>
      </c>
      <c r="P14" s="81"/>
      <c r="Q14" s="32"/>
      <c r="R14" s="32"/>
      <c r="S14" s="32"/>
      <c r="T14" s="32"/>
      <c r="U14" s="32"/>
      <c r="V14" s="32"/>
      <c r="W14" s="32"/>
    </row>
    <row r="15" spans="1:24" hidden="1" x14ac:dyDescent="0.25">
      <c r="A15" s="124" t="s">
        <v>41</v>
      </c>
      <c r="B15" s="125"/>
      <c r="C15" s="125"/>
      <c r="D15" s="125">
        <v>1</v>
      </c>
      <c r="E15" s="1" t="s">
        <v>42</v>
      </c>
      <c r="F15" s="14"/>
      <c r="G15" s="11">
        <v>30</v>
      </c>
      <c r="H15" s="11">
        <f>SUMIF(Recipes!B:B,A15,Recipes!G:G)</f>
        <v>0</v>
      </c>
      <c r="I15" s="24">
        <f t="shared" si="0"/>
        <v>0</v>
      </c>
      <c r="J15" s="24">
        <f t="shared" si="1"/>
        <v>0</v>
      </c>
      <c r="K15" s="178"/>
      <c r="L15" s="74" t="str">
        <f t="shared" si="2"/>
        <v>0 cube</v>
      </c>
      <c r="M15" s="74">
        <v>0</v>
      </c>
      <c r="N15" s="74" t="str">
        <f t="shared" si="3"/>
        <v>0 x cube</v>
      </c>
      <c r="O15" s="75" t="str">
        <f>IFERROR(VLOOKUP(CONCATENATE(A15,"-","Y"),'Price Comparison'!$C$2:$E$101,3,FALSE),"TBC")</f>
        <v>TBC</v>
      </c>
      <c r="P15" s="81"/>
      <c r="Q15" s="32"/>
      <c r="R15" s="32"/>
      <c r="S15" s="32"/>
      <c r="T15" s="32"/>
      <c r="U15" s="32"/>
      <c r="V15" s="32"/>
      <c r="W15" s="32"/>
    </row>
    <row r="16" spans="1:24" hidden="1" x14ac:dyDescent="0.25">
      <c r="A16" s="124" t="s">
        <v>43</v>
      </c>
      <c r="B16" s="125"/>
      <c r="C16" s="125"/>
      <c r="D16" s="125">
        <v>1</v>
      </c>
      <c r="E16" s="1" t="s">
        <v>25</v>
      </c>
      <c r="F16" s="14"/>
      <c r="G16" s="11">
        <v>17</v>
      </c>
      <c r="H16" s="11">
        <f>SUMIF(Recipes!B:B,A16,Recipes!G:G)</f>
        <v>0</v>
      </c>
      <c r="I16" s="24">
        <f t="shared" si="0"/>
        <v>0</v>
      </c>
      <c r="J16" s="24">
        <f t="shared" si="1"/>
        <v>0</v>
      </c>
      <c r="K16" s="178"/>
      <c r="L16" s="74" t="str">
        <f t="shared" si="2"/>
        <v>0 tablespoon</v>
      </c>
      <c r="M16" s="74">
        <v>0</v>
      </c>
      <c r="N16" s="74" t="str">
        <f t="shared" si="3"/>
        <v>0 x tablespoon</v>
      </c>
      <c r="O16" s="75" t="str">
        <f>IFERROR(VLOOKUP(CONCATENATE(A16,"-","Y"),'Price Comparison'!$C$2:$E$101,3,FALSE),"TBC")</f>
        <v>TBC</v>
      </c>
      <c r="P16" s="81"/>
      <c r="Q16" s="32"/>
      <c r="R16" s="32"/>
      <c r="S16" s="32"/>
      <c r="T16" s="32"/>
      <c r="U16" s="32"/>
      <c r="V16" s="32"/>
      <c r="W16" s="32"/>
    </row>
    <row r="17" spans="1:27" x14ac:dyDescent="0.25">
      <c r="A17" s="124" t="s">
        <v>44</v>
      </c>
      <c r="B17" s="125"/>
      <c r="C17" s="125"/>
      <c r="D17" s="125">
        <v>1</v>
      </c>
      <c r="E17" s="1" t="s">
        <v>21</v>
      </c>
      <c r="F17" s="14">
        <v>100</v>
      </c>
      <c r="G17" s="11">
        <v>200</v>
      </c>
      <c r="H17" s="11">
        <f>SUMIF(Recipes!B:B,A17,Recipes!G:G)</f>
        <v>9</v>
      </c>
      <c r="I17" s="24">
        <f>H17*F17</f>
        <v>900</v>
      </c>
      <c r="J17" s="24">
        <f t="shared" si="1"/>
        <v>0.9</v>
      </c>
      <c r="K17" s="178"/>
      <c r="L17" s="74" t="str">
        <f t="shared" si="2"/>
        <v>9 package</v>
      </c>
      <c r="M17" s="74">
        <f>1+5+4</f>
        <v>10</v>
      </c>
      <c r="N17" s="74" t="str">
        <f t="shared" si="3"/>
        <v>-1 x package</v>
      </c>
      <c r="O17" s="75" t="str">
        <f>IFERROR(VLOOKUP(CONCATENATE(A17,"-","Y"),'Price Comparison'!$C$2:$E$101,3,FALSE),"TBC")</f>
        <v>MEC</v>
      </c>
      <c r="P17" s="81"/>
      <c r="Q17" s="32" t="s">
        <v>22</v>
      </c>
      <c r="R17" s="32" t="s">
        <v>22</v>
      </c>
      <c r="S17" s="32" t="s">
        <v>22</v>
      </c>
      <c r="T17" s="32" t="s">
        <v>22</v>
      </c>
      <c r="U17" s="32" t="s">
        <v>22</v>
      </c>
      <c r="V17" s="32" t="s">
        <v>22</v>
      </c>
      <c r="W17" s="32" t="s">
        <v>22</v>
      </c>
    </row>
    <row r="18" spans="1:27" hidden="1" x14ac:dyDescent="0.25">
      <c r="A18" s="124" t="s">
        <v>45</v>
      </c>
      <c r="B18" s="125"/>
      <c r="C18" s="125"/>
      <c r="D18" s="125">
        <v>1</v>
      </c>
      <c r="E18" s="1" t="s">
        <v>46</v>
      </c>
      <c r="F18" s="14"/>
      <c r="G18" s="11">
        <v>90</v>
      </c>
      <c r="H18" s="11">
        <f>SUMIF(Recipes!B:B,A18,Recipes!G:G)</f>
        <v>0</v>
      </c>
      <c r="I18" s="24">
        <f t="shared" si="0"/>
        <v>0</v>
      </c>
      <c r="J18" s="24">
        <f t="shared" si="1"/>
        <v>0</v>
      </c>
      <c r="K18" s="178"/>
      <c r="L18" s="74" t="str">
        <f t="shared" si="2"/>
        <v>0 piece</v>
      </c>
      <c r="M18" s="74">
        <v>0</v>
      </c>
      <c r="N18" s="74" t="str">
        <f t="shared" si="3"/>
        <v>0 x piece</v>
      </c>
      <c r="O18" s="75" t="str">
        <f>IFERROR(VLOOKUP(CONCATENATE(A18,"-","Y"),'Price Comparison'!$C$2:$E$101,3,FALSE),"TBC")</f>
        <v>TBC</v>
      </c>
      <c r="P18" s="81"/>
      <c r="Q18" s="32"/>
      <c r="R18" s="32"/>
      <c r="S18" s="32"/>
      <c r="T18" s="32"/>
      <c r="U18" s="32"/>
      <c r="V18" s="32"/>
      <c r="W18" s="32"/>
    </row>
    <row r="19" spans="1:27" x14ac:dyDescent="0.25">
      <c r="A19" s="124" t="s">
        <v>47</v>
      </c>
      <c r="B19" s="125">
        <v>100</v>
      </c>
      <c r="C19" s="125">
        <v>587</v>
      </c>
      <c r="D19" s="125">
        <v>1</v>
      </c>
      <c r="E19" s="1" t="s">
        <v>25</v>
      </c>
      <c r="F19" s="14">
        <v>15</v>
      </c>
      <c r="G19" s="11">
        <v>90</v>
      </c>
      <c r="H19" s="11">
        <f>SUMIF(Recipes!B:B,A19,Recipes!G:G)</f>
        <v>316</v>
      </c>
      <c r="I19" s="24">
        <f t="shared" si="0"/>
        <v>4740</v>
      </c>
      <c r="J19" s="24">
        <f t="shared" si="1"/>
        <v>4.74</v>
      </c>
      <c r="K19" s="178" t="s">
        <v>19</v>
      </c>
      <c r="L19" s="74" t="str">
        <f t="shared" si="2"/>
        <v>4.74 kg</v>
      </c>
      <c r="M19" s="74">
        <f>7*0.75</f>
        <v>5.25</v>
      </c>
      <c r="N19" s="74" t="str">
        <f t="shared" si="3"/>
        <v>-0.51 kg</v>
      </c>
      <c r="O19" s="75" t="str">
        <f>IFERROR(VLOOKUP(CONCATENATE(A19,"-","Y"),'Price Comparison'!$C$2:$E$101,3,FALSE),"TBC")</f>
        <v>TBC</v>
      </c>
      <c r="P19" s="81"/>
      <c r="Q19" s="32" t="s">
        <v>22</v>
      </c>
      <c r="R19" s="32" t="s">
        <v>22</v>
      </c>
      <c r="S19" s="32" t="s">
        <v>22</v>
      </c>
      <c r="T19" s="32" t="s">
        <v>22</v>
      </c>
      <c r="U19" s="32" t="s">
        <v>22</v>
      </c>
      <c r="V19" s="32" t="s">
        <v>22</v>
      </c>
      <c r="W19" s="32" t="s">
        <v>22</v>
      </c>
      <c r="X19" s="105" t="s">
        <v>48</v>
      </c>
    </row>
    <row r="20" spans="1:27" hidden="1" x14ac:dyDescent="0.25">
      <c r="A20" s="124" t="s">
        <v>49</v>
      </c>
      <c r="B20" s="125"/>
      <c r="C20" s="125"/>
      <c r="D20" s="125">
        <v>1</v>
      </c>
      <c r="E20" s="1" t="s">
        <v>25</v>
      </c>
      <c r="F20" s="14"/>
      <c r="G20" s="11">
        <v>7</v>
      </c>
      <c r="H20" s="11">
        <f>SUMIF(Recipes!B:B,A20,Recipes!G:G)</f>
        <v>0</v>
      </c>
      <c r="I20" s="24">
        <f t="shared" si="0"/>
        <v>0</v>
      </c>
      <c r="J20" s="24">
        <f t="shared" si="1"/>
        <v>0</v>
      </c>
      <c r="K20" s="178"/>
      <c r="L20" s="74" t="str">
        <f t="shared" si="2"/>
        <v>0 tablespoon</v>
      </c>
      <c r="M20" s="74">
        <v>0</v>
      </c>
      <c r="N20" s="74" t="str">
        <f t="shared" si="3"/>
        <v>0 x tablespoon</v>
      </c>
      <c r="O20" s="75" t="str">
        <f>IFERROR(VLOOKUP(CONCATENATE(A20,"-","Y"),'Price Comparison'!$C$2:$E$101,3,FALSE),"TBC")</f>
        <v>TBC</v>
      </c>
      <c r="P20" s="81"/>
      <c r="Q20" s="32"/>
      <c r="R20" s="32"/>
      <c r="S20" s="32"/>
      <c r="T20" s="32"/>
      <c r="U20" s="32"/>
      <c r="V20" s="32"/>
      <c r="W20" s="32"/>
    </row>
    <row r="21" spans="1:27" ht="14.45" hidden="1" customHeight="1" x14ac:dyDescent="0.25">
      <c r="A21" s="124" t="s">
        <v>50</v>
      </c>
      <c r="B21" s="125"/>
      <c r="C21" s="125"/>
      <c r="D21" s="125">
        <v>1</v>
      </c>
      <c r="E21" s="1" t="s">
        <v>25</v>
      </c>
      <c r="F21" s="14"/>
      <c r="G21" s="11">
        <v>80</v>
      </c>
      <c r="H21" s="11">
        <f>SUMIF(Recipes!B:B,A21,Recipes!G:G)</f>
        <v>0</v>
      </c>
      <c r="I21" s="24">
        <f t="shared" si="0"/>
        <v>0</v>
      </c>
      <c r="J21" s="24">
        <f t="shared" si="1"/>
        <v>0</v>
      </c>
      <c r="K21" s="178"/>
      <c r="L21" s="74" t="str">
        <f t="shared" si="2"/>
        <v>0 tablespoon</v>
      </c>
      <c r="M21" s="74">
        <v>0</v>
      </c>
      <c r="N21" s="74" t="str">
        <f t="shared" si="3"/>
        <v>0 x tablespoon</v>
      </c>
      <c r="O21" s="75" t="str">
        <f>IFERROR(VLOOKUP(CONCATENATE(A21,"-","Y"),'Price Comparison'!$C$2:$E$101,3,FALSE),"TBC")</f>
        <v>TBC</v>
      </c>
      <c r="P21" s="81"/>
      <c r="Q21" s="32"/>
      <c r="R21" s="32"/>
      <c r="S21" s="32"/>
      <c r="T21" s="32"/>
      <c r="U21" s="32"/>
      <c r="V21" s="32"/>
      <c r="W21" s="32"/>
    </row>
    <row r="22" spans="1:27" x14ac:dyDescent="0.25">
      <c r="A22" s="124" t="s">
        <v>51</v>
      </c>
      <c r="B22" s="125">
        <v>100</v>
      </c>
      <c r="C22" s="125">
        <v>426</v>
      </c>
      <c r="D22" s="125">
        <v>1</v>
      </c>
      <c r="E22" s="1" t="s">
        <v>46</v>
      </c>
      <c r="F22" s="14">
        <v>100</v>
      </c>
      <c r="G22" s="11">
        <v>426</v>
      </c>
      <c r="H22" s="11">
        <f>SUMIF(Recipes!B:B,A22,Recipes!G:G)</f>
        <v>49</v>
      </c>
      <c r="I22" s="24">
        <f t="shared" si="0"/>
        <v>4900</v>
      </c>
      <c r="J22" s="24">
        <f t="shared" si="1"/>
        <v>4.9000000000000004</v>
      </c>
      <c r="K22" s="178" t="s">
        <v>19</v>
      </c>
      <c r="L22" s="74" t="str">
        <f t="shared" si="2"/>
        <v>4.9 kg</v>
      </c>
      <c r="M22" s="74">
        <v>0</v>
      </c>
      <c r="N22" s="74" t="str">
        <f t="shared" si="3"/>
        <v>4.9 kg</v>
      </c>
      <c r="O22" s="75" t="str">
        <f>IFERROR(VLOOKUP(CONCATENATE(A22,"-","Y"),'Price Comparison'!$C$2:$E$101,3,FALSE),"TBC")</f>
        <v>TBC</v>
      </c>
      <c r="P22" s="81"/>
      <c r="Q22" s="32"/>
      <c r="R22" s="32"/>
      <c r="S22" s="32"/>
      <c r="T22" s="32"/>
      <c r="U22" s="32"/>
      <c r="V22" s="32"/>
      <c r="W22" s="32"/>
      <c r="X22" s="105" t="s">
        <v>52</v>
      </c>
    </row>
    <row r="23" spans="1:27" x14ac:dyDescent="0.25">
      <c r="A23" s="124" t="s">
        <v>53</v>
      </c>
      <c r="B23" s="125">
        <v>30</v>
      </c>
      <c r="C23" s="125">
        <v>120</v>
      </c>
      <c r="D23" s="125">
        <v>1</v>
      </c>
      <c r="E23" s="1" t="s">
        <v>46</v>
      </c>
      <c r="F23" s="14">
        <v>30</v>
      </c>
      <c r="G23" s="11">
        <v>120</v>
      </c>
      <c r="H23" s="11">
        <f>SUMIF(Recipes!B:B,A23,Recipes!G:G)</f>
        <v>35</v>
      </c>
      <c r="I23" s="24">
        <f t="shared" si="0"/>
        <v>1050</v>
      </c>
      <c r="J23" s="24">
        <f t="shared" si="1"/>
        <v>1.05</v>
      </c>
      <c r="K23" s="178" t="s">
        <v>19</v>
      </c>
      <c r="L23" s="74" t="str">
        <f t="shared" si="2"/>
        <v>1.05 kg</v>
      </c>
      <c r="M23" s="74">
        <v>0</v>
      </c>
      <c r="N23" s="74" t="str">
        <f t="shared" si="3"/>
        <v>1.05 kg</v>
      </c>
      <c r="O23" s="75" t="str">
        <f>IFERROR(VLOOKUP(CONCATENATE(A23,"-","Y"),'Price Comparison'!$C$2:$E$101,3,FALSE),"TBC")</f>
        <v>TBC</v>
      </c>
      <c r="P23" s="81"/>
      <c r="Q23" s="32"/>
      <c r="R23" s="32"/>
      <c r="S23" s="32"/>
      <c r="T23" s="32"/>
      <c r="U23" s="32"/>
      <c r="V23" s="32"/>
      <c r="W23" s="32"/>
    </row>
    <row r="24" spans="1:27" hidden="1" x14ac:dyDescent="0.25">
      <c r="A24" s="124" t="s">
        <v>54</v>
      </c>
      <c r="B24" s="125"/>
      <c r="C24" s="125"/>
      <c r="D24" s="125">
        <v>1</v>
      </c>
      <c r="E24" s="1" t="s">
        <v>18</v>
      </c>
      <c r="F24" s="14"/>
      <c r="G24" s="11">
        <v>339</v>
      </c>
      <c r="H24" s="11">
        <f>SUMIF(Recipes!B:B,A24,Recipes!G:G)</f>
        <v>0</v>
      </c>
      <c r="I24" s="24">
        <f t="shared" si="0"/>
        <v>0</v>
      </c>
      <c r="J24" s="24">
        <f t="shared" si="1"/>
        <v>0</v>
      </c>
      <c r="K24" s="178"/>
      <c r="L24" s="74" t="str">
        <f t="shared" si="2"/>
        <v>0 cup</v>
      </c>
      <c r="M24" s="74">
        <v>0</v>
      </c>
      <c r="N24" s="74" t="str">
        <f t="shared" si="3"/>
        <v>0 x cup</v>
      </c>
      <c r="O24" s="75" t="str">
        <f>IFERROR(VLOOKUP(CONCATENATE(A24,"-","Y"),'Price Comparison'!$C$2:$E$101,3,FALSE),"TBC")</f>
        <v>TBC</v>
      </c>
      <c r="P24" s="81"/>
      <c r="Q24" s="32"/>
      <c r="R24" s="32"/>
      <c r="S24" s="32"/>
      <c r="T24" s="32"/>
      <c r="U24" s="32"/>
      <c r="V24" s="32"/>
      <c r="W24" s="32"/>
    </row>
    <row r="25" spans="1:27" hidden="1" x14ac:dyDescent="0.25">
      <c r="A25" s="124" t="s">
        <v>55</v>
      </c>
      <c r="B25" s="125"/>
      <c r="C25" s="125"/>
      <c r="D25" s="125">
        <v>1</v>
      </c>
      <c r="E25" s="1" t="s">
        <v>25</v>
      </c>
      <c r="F25" s="14"/>
      <c r="G25" s="11">
        <f>218/2</f>
        <v>109</v>
      </c>
      <c r="H25" s="11">
        <f>SUMIF(Recipes!B:B,A25,Recipes!G:G)</f>
        <v>0</v>
      </c>
      <c r="I25" s="24">
        <f t="shared" si="0"/>
        <v>0</v>
      </c>
      <c r="J25" s="24">
        <f t="shared" si="1"/>
        <v>0</v>
      </c>
      <c r="K25" s="178"/>
      <c r="L25" s="74" t="str">
        <f t="shared" si="2"/>
        <v>0 tablespoon</v>
      </c>
      <c r="M25" s="74">
        <v>0</v>
      </c>
      <c r="N25" s="74" t="str">
        <f t="shared" si="3"/>
        <v>0 x tablespoon</v>
      </c>
      <c r="O25" s="75" t="str">
        <f>IFERROR(VLOOKUP(CONCATENATE(A25,"-","Y"),'Price Comparison'!$C$2:$E$101,3,FALSE),"TBC")</f>
        <v>TBC</v>
      </c>
      <c r="P25" s="81"/>
      <c r="Q25" s="32"/>
      <c r="R25" s="32"/>
      <c r="S25" s="32"/>
      <c r="T25" s="32"/>
      <c r="U25" s="32"/>
      <c r="V25" s="32"/>
      <c r="W25" s="32"/>
    </row>
    <row r="26" spans="1:27" hidden="1" x14ac:dyDescent="0.25">
      <c r="A26" s="124" t="s">
        <v>56</v>
      </c>
      <c r="B26" s="125"/>
      <c r="C26" s="125"/>
      <c r="D26" s="125">
        <v>1</v>
      </c>
      <c r="E26" s="1" t="s">
        <v>25</v>
      </c>
      <c r="F26" s="14"/>
      <c r="G26" s="11">
        <v>52</v>
      </c>
      <c r="H26" s="11">
        <f>SUMIF(Recipes!B:B,A26,Recipes!G:G)</f>
        <v>0</v>
      </c>
      <c r="I26" s="24">
        <f t="shared" si="0"/>
        <v>0</v>
      </c>
      <c r="J26" s="24">
        <f t="shared" si="1"/>
        <v>0</v>
      </c>
      <c r="K26" s="178"/>
      <c r="L26" s="74" t="str">
        <f t="shared" si="2"/>
        <v>0 tablespoon</v>
      </c>
      <c r="M26" s="74">
        <v>0</v>
      </c>
      <c r="N26" s="74" t="str">
        <f t="shared" si="3"/>
        <v>0 x tablespoon</v>
      </c>
      <c r="O26" s="75" t="str">
        <f>IFERROR(VLOOKUP(CONCATENATE(A26,"-","Y"),'Price Comparison'!$C$2:$E$101,3,FALSE),"TBC")</f>
        <v>TBC</v>
      </c>
      <c r="P26" s="81"/>
      <c r="Q26" s="32"/>
      <c r="R26" s="32"/>
      <c r="S26" s="32"/>
      <c r="T26" s="32"/>
      <c r="U26" s="32"/>
      <c r="V26" s="32"/>
      <c r="W26" s="32"/>
    </row>
    <row r="27" spans="1:27" hidden="1" x14ac:dyDescent="0.25">
      <c r="A27" s="124" t="s">
        <v>57</v>
      </c>
      <c r="B27" s="125"/>
      <c r="C27" s="125"/>
      <c r="D27" s="125">
        <v>1</v>
      </c>
      <c r="E27" s="1" t="s">
        <v>18</v>
      </c>
      <c r="F27" s="14"/>
      <c r="G27" s="11">
        <v>293</v>
      </c>
      <c r="H27" s="11">
        <f>SUMIF(Recipes!B:B,A27,Recipes!G:G)</f>
        <v>0</v>
      </c>
      <c r="I27" s="24">
        <f t="shared" si="0"/>
        <v>0</v>
      </c>
      <c r="J27" s="24">
        <f t="shared" si="1"/>
        <v>0</v>
      </c>
      <c r="K27" s="178"/>
      <c r="L27" s="74" t="str">
        <f t="shared" si="2"/>
        <v>0 cup</v>
      </c>
      <c r="M27" s="74">
        <v>0</v>
      </c>
      <c r="N27" s="74" t="str">
        <f t="shared" si="3"/>
        <v>0 x cup</v>
      </c>
      <c r="O27" s="75" t="str">
        <f>IFERROR(VLOOKUP(CONCATENATE(A27,"-","Y"),'Price Comparison'!$C$2:$E$101,3,FALSE),"TBC")</f>
        <v>TBC</v>
      </c>
      <c r="P27" s="81"/>
      <c r="Q27" s="32"/>
      <c r="R27" s="32"/>
      <c r="S27" s="32"/>
      <c r="T27" s="32"/>
      <c r="U27" s="32"/>
      <c r="V27" s="32"/>
      <c r="W27" s="32"/>
    </row>
    <row r="28" spans="1:27" hidden="1" x14ac:dyDescent="0.25">
      <c r="A28" s="124" t="s">
        <v>58</v>
      </c>
      <c r="B28" s="125"/>
      <c r="C28" s="125"/>
      <c r="D28" s="125">
        <v>1</v>
      </c>
      <c r="E28" s="1" t="s">
        <v>25</v>
      </c>
      <c r="F28" s="14"/>
      <c r="G28" s="11">
        <f>45/2</f>
        <v>22.5</v>
      </c>
      <c r="H28" s="11">
        <f>SUMIF(Recipes!B:B,A28,Recipes!G:G)</f>
        <v>0</v>
      </c>
      <c r="I28" s="24">
        <f t="shared" si="0"/>
        <v>0</v>
      </c>
      <c r="J28" s="24">
        <f t="shared" si="1"/>
        <v>0</v>
      </c>
      <c r="K28" s="178"/>
      <c r="L28" s="74" t="str">
        <f t="shared" si="2"/>
        <v>0 tablespoon</v>
      </c>
      <c r="M28" s="74">
        <v>0</v>
      </c>
      <c r="N28" s="74" t="str">
        <f t="shared" si="3"/>
        <v>0 x tablespoon</v>
      </c>
      <c r="O28" s="75" t="str">
        <f>IFERROR(VLOOKUP(CONCATENATE(A28,"-","Y"),'Price Comparison'!$C$2:$E$101,3,FALSE),"TBC")</f>
        <v>TBC</v>
      </c>
      <c r="P28" s="81"/>
      <c r="Q28" s="32"/>
      <c r="R28" s="32"/>
      <c r="S28" s="32"/>
      <c r="T28" s="32"/>
      <c r="U28" s="32"/>
      <c r="V28" s="32"/>
      <c r="W28" s="32"/>
      <c r="Y28" s="109" t="s">
        <v>59</v>
      </c>
      <c r="Z28" s="109" t="s">
        <v>60</v>
      </c>
      <c r="AA28" s="109" t="s">
        <v>61</v>
      </c>
    </row>
    <row r="29" spans="1:27" x14ac:dyDescent="0.25">
      <c r="A29" s="124" t="s">
        <v>62</v>
      </c>
      <c r="B29" s="125">
        <v>52</v>
      </c>
      <c r="C29" s="125">
        <v>250</v>
      </c>
      <c r="D29" s="125">
        <v>1</v>
      </c>
      <c r="E29" s="1" t="s">
        <v>63</v>
      </c>
      <c r="F29" s="14">
        <v>52</v>
      </c>
      <c r="G29" s="11">
        <v>250</v>
      </c>
      <c r="H29" s="11">
        <f>SUMIF(Recipes!B:B,A29,Recipes!G:G)</f>
        <v>94</v>
      </c>
      <c r="I29" s="24">
        <f>H29*F29</f>
        <v>4888</v>
      </c>
      <c r="J29" s="24">
        <f t="shared" si="1"/>
        <v>4.8879999999999999</v>
      </c>
      <c r="K29" s="178"/>
      <c r="L29" s="74" t="str">
        <f t="shared" si="2"/>
        <v>94 bar</v>
      </c>
      <c r="M29" s="74">
        <f>SUM(Y29:AA29)</f>
        <v>116</v>
      </c>
      <c r="N29" s="74" t="str">
        <f t="shared" si="3"/>
        <v>-22 x bar</v>
      </c>
      <c r="O29" s="75" t="str">
        <f>IFERROR(VLOOKUP(CONCATENATE(A29,"-","Y"),'Price Comparison'!$C$2:$E$101,3,FALSE),"TBC")</f>
        <v>Superstore</v>
      </c>
      <c r="P29" s="81"/>
      <c r="Q29" s="32" t="s">
        <v>22</v>
      </c>
      <c r="R29" s="32" t="s">
        <v>22</v>
      </c>
      <c r="S29" s="32" t="s">
        <v>22</v>
      </c>
      <c r="T29" s="32" t="s">
        <v>22</v>
      </c>
      <c r="U29" s="32" t="s">
        <v>22</v>
      </c>
      <c r="V29" s="32" t="s">
        <v>22</v>
      </c>
      <c r="W29" s="32" t="s">
        <v>22</v>
      </c>
      <c r="X29" s="105" t="s">
        <v>64</v>
      </c>
      <c r="Y29" s="47">
        <v>0</v>
      </c>
      <c r="Z29" s="47">
        <v>0</v>
      </c>
      <c r="AA29" s="47">
        <f>7*16+4</f>
        <v>116</v>
      </c>
    </row>
    <row r="30" spans="1:27" hidden="1" x14ac:dyDescent="0.25">
      <c r="A30" s="124" t="s">
        <v>65</v>
      </c>
      <c r="B30" s="125"/>
      <c r="C30" s="125"/>
      <c r="D30" s="125">
        <v>1</v>
      </c>
      <c r="E30" s="1" t="s">
        <v>18</v>
      </c>
      <c r="F30" s="14"/>
      <c r="G30" s="11">
        <v>754</v>
      </c>
      <c r="H30" s="11">
        <f>SUMIF(Recipes!B:B,A30,Recipes!G:G)</f>
        <v>0</v>
      </c>
      <c r="I30" s="24">
        <f t="shared" si="0"/>
        <v>0</v>
      </c>
      <c r="J30" s="24">
        <f t="shared" si="1"/>
        <v>0</v>
      </c>
      <c r="K30" s="178"/>
      <c r="L30" s="74" t="str">
        <f t="shared" si="2"/>
        <v>0 cup</v>
      </c>
      <c r="M30" s="74">
        <v>0</v>
      </c>
      <c r="N30" s="74" t="str">
        <f t="shared" si="3"/>
        <v>0 x cup</v>
      </c>
      <c r="O30" s="75" t="str">
        <f>IFERROR(VLOOKUP(CONCATENATE(A30,"-","Y"),'Price Comparison'!$C$2:$E$101,3,FALSE),"TBC")</f>
        <v>TBC</v>
      </c>
      <c r="P30" s="81"/>
      <c r="Q30" s="32"/>
      <c r="R30" s="32"/>
      <c r="S30" s="32"/>
      <c r="T30" s="32"/>
      <c r="U30" s="32"/>
      <c r="V30" s="32"/>
      <c r="W30" s="32"/>
    </row>
    <row r="31" spans="1:27" hidden="1" x14ac:dyDescent="0.25">
      <c r="A31" s="124" t="s">
        <v>66</v>
      </c>
      <c r="B31" s="125"/>
      <c r="C31" s="125"/>
      <c r="D31" s="125">
        <v>1</v>
      </c>
      <c r="E31" s="1" t="s">
        <v>21</v>
      </c>
      <c r="F31" s="14"/>
      <c r="G31" s="11">
        <v>230</v>
      </c>
      <c r="H31" s="11">
        <f>SUMIF(Recipes!B:B,A31,Recipes!G:G)</f>
        <v>0</v>
      </c>
      <c r="I31" s="24">
        <f t="shared" si="0"/>
        <v>0</v>
      </c>
      <c r="J31" s="24">
        <f t="shared" si="1"/>
        <v>0</v>
      </c>
      <c r="K31" s="178"/>
      <c r="L31" s="74" t="str">
        <f t="shared" si="2"/>
        <v>0 package</v>
      </c>
      <c r="M31" s="74">
        <v>0</v>
      </c>
      <c r="N31" s="74" t="str">
        <f t="shared" si="3"/>
        <v>0 x package</v>
      </c>
      <c r="O31" s="75" t="str">
        <f>IFERROR(VLOOKUP(CONCATENATE(A31,"-","Y"),'Price Comparison'!$C$2:$E$101,3,FALSE),"TBC")</f>
        <v>TBC</v>
      </c>
      <c r="P31" s="81"/>
      <c r="Q31" s="32"/>
      <c r="R31" s="32"/>
      <c r="S31" s="32"/>
      <c r="T31" s="32"/>
      <c r="U31" s="32"/>
      <c r="V31" s="32"/>
      <c r="W31" s="32"/>
    </row>
    <row r="32" spans="1:27" hidden="1" x14ac:dyDescent="0.25">
      <c r="A32" s="124" t="s">
        <v>67</v>
      </c>
      <c r="B32" s="125"/>
      <c r="C32" s="125"/>
      <c r="D32" s="125">
        <v>1</v>
      </c>
      <c r="E32" s="1" t="s">
        <v>25</v>
      </c>
      <c r="F32" s="14">
        <v>7</v>
      </c>
      <c r="G32" s="11">
        <v>30</v>
      </c>
      <c r="H32" s="11">
        <f>SUMIF(Recipes!B:B,A32,Recipes!G:G)</f>
        <v>0</v>
      </c>
      <c r="I32" s="24">
        <f t="shared" si="0"/>
        <v>0</v>
      </c>
      <c r="J32" s="24">
        <f t="shared" si="1"/>
        <v>0</v>
      </c>
      <c r="K32" s="178"/>
      <c r="L32" s="74" t="str">
        <f t="shared" si="2"/>
        <v>0 tablespoon</v>
      </c>
      <c r="M32" s="74"/>
      <c r="N32" s="74" t="str">
        <f t="shared" si="3"/>
        <v>0 x tablespoon</v>
      </c>
      <c r="O32" s="75" t="str">
        <f>IFERROR(VLOOKUP(CONCATENATE(A32,"-","Y"),'Price Comparison'!$C$2:$E$101,3,FALSE),"TBC")</f>
        <v>TBC</v>
      </c>
      <c r="P32" s="81"/>
      <c r="Q32" s="32"/>
      <c r="R32" s="32"/>
      <c r="S32" s="32"/>
      <c r="T32" s="32"/>
      <c r="U32" s="32"/>
      <c r="V32" s="32"/>
      <c r="W32" s="32"/>
      <c r="Y32" s="109" t="s">
        <v>68</v>
      </c>
      <c r="Z32" s="109"/>
      <c r="AA32" s="109"/>
    </row>
    <row r="33" spans="1:27" x14ac:dyDescent="0.25">
      <c r="A33" s="124" t="s">
        <v>69</v>
      </c>
      <c r="B33" s="125">
        <v>100</v>
      </c>
      <c r="C33" s="125">
        <v>410</v>
      </c>
      <c r="D33" s="125">
        <v>1</v>
      </c>
      <c r="E33" s="1" t="s">
        <v>70</v>
      </c>
      <c r="F33" s="14">
        <v>20</v>
      </c>
      <c r="G33" s="11">
        <v>50</v>
      </c>
      <c r="H33" s="11">
        <f>SUMIF(Recipes!B:B,A33,Recipes!G:G)</f>
        <v>209</v>
      </c>
      <c r="I33" s="24">
        <f t="shared" si="0"/>
        <v>4180</v>
      </c>
      <c r="J33" s="24">
        <f t="shared" si="1"/>
        <v>4.18</v>
      </c>
      <c r="K33" s="178" t="s">
        <v>26</v>
      </c>
      <c r="L33" s="74" t="str">
        <f t="shared" si="2"/>
        <v>4180 g</v>
      </c>
      <c r="M33" s="74">
        <f>0.9+3+0.25</f>
        <v>4.1500000000000004</v>
      </c>
      <c r="N33" s="74" t="str">
        <f t="shared" si="3"/>
        <v>4175.85 g</v>
      </c>
      <c r="O33" s="75" t="str">
        <f>IFERROR(VLOOKUP(CONCATENATE(A33,"-","Y"),'Price Comparison'!$C$2:$E$101,3,FALSE),"TBC")</f>
        <v>TBC</v>
      </c>
      <c r="P33" s="81"/>
      <c r="Q33" s="32" t="s">
        <v>22</v>
      </c>
      <c r="R33" s="32" t="s">
        <v>22</v>
      </c>
      <c r="S33" s="32" t="s">
        <v>22</v>
      </c>
      <c r="T33" s="32" t="s">
        <v>22</v>
      </c>
      <c r="U33" s="32" t="s">
        <v>22</v>
      </c>
      <c r="V33" s="32" t="s">
        <v>22</v>
      </c>
      <c r="W33" s="32" t="s">
        <v>22</v>
      </c>
      <c r="X33" s="165" t="s">
        <v>27</v>
      </c>
      <c r="Y33" s="47">
        <v>0.9</v>
      </c>
      <c r="Z33" s="47"/>
      <c r="AA33" s="47"/>
    </row>
    <row r="34" spans="1:27" hidden="1" x14ac:dyDescent="0.25">
      <c r="A34" s="124" t="s">
        <v>71</v>
      </c>
      <c r="B34" s="125"/>
      <c r="C34" s="125"/>
      <c r="D34" s="125">
        <v>1</v>
      </c>
      <c r="E34" s="1" t="s">
        <v>18</v>
      </c>
      <c r="F34" s="14"/>
      <c r="G34" s="11">
        <f>180*3</f>
        <v>540</v>
      </c>
      <c r="H34" s="11">
        <f>SUMIF(Recipes!B:B,A34,Recipes!G:G)</f>
        <v>0</v>
      </c>
      <c r="I34" s="24">
        <f t="shared" si="0"/>
        <v>0</v>
      </c>
      <c r="J34" s="24">
        <f t="shared" si="1"/>
        <v>0</v>
      </c>
      <c r="K34" s="178"/>
      <c r="L34" s="74" t="str">
        <f t="shared" si="2"/>
        <v>0 cup</v>
      </c>
      <c r="M34" s="74">
        <v>0</v>
      </c>
      <c r="N34" s="74" t="str">
        <f t="shared" si="3"/>
        <v>0 x cup</v>
      </c>
      <c r="O34" s="75" t="str">
        <f>IFERROR(VLOOKUP(CONCATENATE(A34,"-","Y"),'Price Comparison'!$C$2:$E$101,3,FALSE),"TBC")</f>
        <v>TBC</v>
      </c>
      <c r="P34" s="81"/>
      <c r="Q34" s="32"/>
      <c r="R34" s="32"/>
      <c r="S34" s="32"/>
      <c r="T34" s="32"/>
      <c r="U34" s="32"/>
      <c r="V34" s="32"/>
      <c r="W34" s="32"/>
    </row>
    <row r="35" spans="1:27" hidden="1" x14ac:dyDescent="0.25">
      <c r="A35" s="124" t="s">
        <v>72</v>
      </c>
      <c r="B35" s="125"/>
      <c r="C35" s="125"/>
      <c r="D35" s="125">
        <v>1</v>
      </c>
      <c r="E35" s="1" t="s">
        <v>73</v>
      </c>
      <c r="F35" s="14"/>
      <c r="G35" s="11">
        <v>20</v>
      </c>
      <c r="H35" s="11">
        <f>SUMIF(Recipes!B:B,A35,Recipes!G:G)</f>
        <v>0</v>
      </c>
      <c r="I35" s="24">
        <f t="shared" si="0"/>
        <v>0</v>
      </c>
      <c r="J35" s="24">
        <f t="shared" si="1"/>
        <v>0</v>
      </c>
      <c r="K35" s="178"/>
      <c r="L35" s="74" t="str">
        <f t="shared" si="2"/>
        <v>0 1/4 package</v>
      </c>
      <c r="M35" s="74">
        <v>0</v>
      </c>
      <c r="N35" s="74" t="str">
        <f t="shared" si="3"/>
        <v>0 x 1/4 package</v>
      </c>
      <c r="O35" s="75" t="str">
        <f>IFERROR(VLOOKUP(CONCATENATE(A35,"-","Y"),'Price Comparison'!$C$2:$E$101,3,FALSE),"TBC")</f>
        <v>TBC</v>
      </c>
      <c r="P35" s="81"/>
      <c r="Q35" s="32"/>
      <c r="R35" s="32"/>
      <c r="S35" s="32"/>
      <c r="T35" s="32"/>
      <c r="U35" s="32"/>
      <c r="V35" s="32"/>
      <c r="W35" s="32"/>
    </row>
    <row r="36" spans="1:27" ht="30" hidden="1" x14ac:dyDescent="0.25">
      <c r="A36" s="124" t="s">
        <v>74</v>
      </c>
      <c r="B36" s="125"/>
      <c r="C36" s="125"/>
      <c r="D36" s="125">
        <v>1</v>
      </c>
      <c r="E36" s="1" t="s">
        <v>75</v>
      </c>
      <c r="F36" s="14"/>
      <c r="G36" s="11">
        <v>280</v>
      </c>
      <c r="H36" s="11">
        <f>SUMIF(Recipes!B:B,A36,Recipes!G:G)</f>
        <v>0</v>
      </c>
      <c r="I36" s="24">
        <f t="shared" si="0"/>
        <v>0</v>
      </c>
      <c r="J36" s="24">
        <f t="shared" si="1"/>
        <v>0</v>
      </c>
      <c r="K36" s="178"/>
      <c r="L36" s="74" t="str">
        <f t="shared" si="2"/>
        <v>0 package (cup)</v>
      </c>
      <c r="M36" s="74">
        <v>0</v>
      </c>
      <c r="N36" s="74" t="str">
        <f t="shared" si="3"/>
        <v>0 x package (cup)</v>
      </c>
      <c r="O36" s="75" t="str">
        <f>IFERROR(VLOOKUP(CONCATENATE(A36,"-","Y"),'Price Comparison'!$C$2:$E$101,3,FALSE),"TBC")</f>
        <v>TBC</v>
      </c>
      <c r="P36" s="81"/>
      <c r="Q36" s="32"/>
      <c r="R36" s="32"/>
      <c r="S36" s="32"/>
      <c r="T36" s="32"/>
      <c r="U36" s="32"/>
      <c r="V36" s="32"/>
      <c r="W36" s="32"/>
    </row>
    <row r="37" spans="1:27" hidden="1" x14ac:dyDescent="0.25">
      <c r="A37" s="124" t="s">
        <v>76</v>
      </c>
      <c r="B37" s="125"/>
      <c r="C37" s="125"/>
      <c r="D37" s="125">
        <v>1</v>
      </c>
      <c r="E37" s="1" t="s">
        <v>46</v>
      </c>
      <c r="F37" s="14"/>
      <c r="G37" s="11">
        <v>16</v>
      </c>
      <c r="H37" s="11">
        <f>SUMIF(Recipes!B:B,A37,Recipes!G:G)</f>
        <v>0</v>
      </c>
      <c r="I37" s="24">
        <f t="shared" si="0"/>
        <v>0</v>
      </c>
      <c r="J37" s="24">
        <f t="shared" si="1"/>
        <v>0</v>
      </c>
      <c r="K37" s="178"/>
      <c r="L37" s="74" t="str">
        <f t="shared" si="2"/>
        <v>0 piece</v>
      </c>
      <c r="M37" s="74">
        <v>0</v>
      </c>
      <c r="N37" s="74" t="str">
        <f t="shared" si="3"/>
        <v>0 x piece</v>
      </c>
      <c r="O37" s="75" t="str">
        <f>IFERROR(VLOOKUP(CONCATENATE(A37,"-","Y"),'Price Comparison'!$C$2:$E$101,3,FALSE),"TBC")</f>
        <v>TBC</v>
      </c>
      <c r="P37" s="81"/>
      <c r="Q37" s="32"/>
      <c r="R37" s="32"/>
      <c r="S37" s="32"/>
      <c r="T37" s="32"/>
      <c r="U37" s="32"/>
      <c r="V37" s="32"/>
      <c r="W37" s="32"/>
    </row>
    <row r="38" spans="1:27" hidden="1" x14ac:dyDescent="0.25">
      <c r="A38" s="124" t="s">
        <v>77</v>
      </c>
      <c r="B38" s="125"/>
      <c r="C38" s="125"/>
      <c r="D38" s="125">
        <v>1</v>
      </c>
      <c r="E38" s="1" t="s">
        <v>46</v>
      </c>
      <c r="F38" s="14"/>
      <c r="G38" s="13">
        <v>0</v>
      </c>
      <c r="H38" s="11">
        <f>SUMIF(Recipes!B:B,A38,Recipes!G:G)</f>
        <v>0</v>
      </c>
      <c r="I38" s="24">
        <f t="shared" si="0"/>
        <v>0</v>
      </c>
      <c r="J38" s="24">
        <f t="shared" si="1"/>
        <v>0</v>
      </c>
      <c r="K38" s="178"/>
      <c r="L38" s="74" t="str">
        <f t="shared" si="2"/>
        <v>0 piece</v>
      </c>
      <c r="M38" s="74">
        <v>0</v>
      </c>
      <c r="N38" s="74" t="str">
        <f t="shared" si="3"/>
        <v>0 x piece</v>
      </c>
      <c r="O38" s="75" t="str">
        <f>IFERROR(VLOOKUP(CONCATENATE(A38,"-","Y"),'Price Comparison'!$C$2:$E$101,3,FALSE),"TBC")</f>
        <v>TBC</v>
      </c>
      <c r="P38" s="81"/>
      <c r="Q38" s="32"/>
      <c r="R38" s="32"/>
      <c r="S38" s="32"/>
      <c r="T38" s="32"/>
      <c r="U38" s="32"/>
      <c r="V38" s="32"/>
      <c r="W38" s="32"/>
    </row>
    <row r="39" spans="1:27" x14ac:dyDescent="0.25">
      <c r="A39" s="124" t="s">
        <v>78</v>
      </c>
      <c r="B39" s="125">
        <v>39</v>
      </c>
      <c r="C39" s="125">
        <v>140</v>
      </c>
      <c r="D39" s="125">
        <v>1</v>
      </c>
      <c r="E39" s="1" t="s">
        <v>46</v>
      </c>
      <c r="F39" s="14">
        <v>2.5</v>
      </c>
      <c r="G39" s="11">
        <v>9</v>
      </c>
      <c r="H39" s="11">
        <f>SUMIF(Recipes!B:B,A39,Recipes!G:G)</f>
        <v>225</v>
      </c>
      <c r="I39" s="24">
        <f t="shared" si="0"/>
        <v>562.5</v>
      </c>
      <c r="J39" s="24">
        <f t="shared" si="1"/>
        <v>0.5625</v>
      </c>
      <c r="K39" s="178" t="s">
        <v>26</v>
      </c>
      <c r="L39" s="74" t="str">
        <f t="shared" si="2"/>
        <v>562.5 g</v>
      </c>
      <c r="M39" s="74">
        <f>300+(185*2)</f>
        <v>670</v>
      </c>
      <c r="N39" s="74" t="str">
        <f t="shared" si="3"/>
        <v>-107.5 g</v>
      </c>
      <c r="O39" s="75" t="str">
        <f>IFERROR(VLOOKUP(CONCATENATE(A39,"-","Y"),'Price Comparison'!$C$2:$E$101,3,FALSE),"TBC")</f>
        <v>TBC</v>
      </c>
      <c r="P39" s="81"/>
      <c r="Q39" s="32" t="s">
        <v>22</v>
      </c>
      <c r="R39" s="32" t="s">
        <v>22</v>
      </c>
      <c r="S39" s="32" t="s">
        <v>22</v>
      </c>
      <c r="T39" s="32" t="s">
        <v>22</v>
      </c>
      <c r="U39" s="32" t="s">
        <v>22</v>
      </c>
      <c r="V39" s="32" t="s">
        <v>22</v>
      </c>
      <c r="W39" s="32" t="s">
        <v>22</v>
      </c>
    </row>
    <row r="40" spans="1:27" ht="30" hidden="1" x14ac:dyDescent="0.25">
      <c r="A40" s="124" t="s">
        <v>79</v>
      </c>
      <c r="B40" s="125"/>
      <c r="C40" s="125"/>
      <c r="D40" s="125">
        <v>1</v>
      </c>
      <c r="E40" s="1" t="s">
        <v>80</v>
      </c>
      <c r="F40" s="14"/>
      <c r="G40" s="11">
        <v>90</v>
      </c>
      <c r="H40" s="11">
        <f>SUMIF(Recipes!B:B,A40,Recipes!G:G)</f>
        <v>0</v>
      </c>
      <c r="I40" s="24">
        <f t="shared" si="0"/>
        <v>0</v>
      </c>
      <c r="J40" s="24">
        <f t="shared" si="1"/>
        <v>0</v>
      </c>
      <c r="K40" s="178"/>
      <c r="L40" s="74" t="str">
        <f t="shared" si="2"/>
        <v>0 package (35 g)</v>
      </c>
      <c r="M40" s="74">
        <v>0</v>
      </c>
      <c r="N40" s="74" t="str">
        <f t="shared" si="3"/>
        <v>0 x package (35 g)</v>
      </c>
      <c r="O40" s="75" t="str">
        <f>IFERROR(VLOOKUP(CONCATENATE(A40,"-","Y"),'Price Comparison'!$C$2:$E$101,3,FALSE),"TBC")</f>
        <v>TBC</v>
      </c>
      <c r="P40" s="81"/>
      <c r="Q40" s="32"/>
      <c r="R40" s="32"/>
      <c r="S40" s="32"/>
      <c r="T40" s="32"/>
      <c r="U40" s="32"/>
      <c r="V40" s="32"/>
      <c r="W40" s="32"/>
    </row>
    <row r="41" spans="1:27" ht="30" hidden="1" x14ac:dyDescent="0.25">
      <c r="A41" s="124" t="s">
        <v>81</v>
      </c>
      <c r="B41" s="125"/>
      <c r="C41" s="125"/>
      <c r="D41" s="125">
        <v>1</v>
      </c>
      <c r="E41" s="1" t="s">
        <v>82</v>
      </c>
      <c r="F41" s="14"/>
      <c r="G41" s="11">
        <v>70</v>
      </c>
      <c r="H41" s="11">
        <f>SUMIF(Recipes!B:B,A41,Recipes!G:G)</f>
        <v>0</v>
      </c>
      <c r="I41" s="24">
        <f t="shared" si="0"/>
        <v>0</v>
      </c>
      <c r="J41" s="24">
        <f t="shared" si="1"/>
        <v>0</v>
      </c>
      <c r="K41" s="178"/>
      <c r="L41" s="74" t="str">
        <f t="shared" si="2"/>
        <v>0 1/2 package (28)</v>
      </c>
      <c r="M41" s="74">
        <v>0</v>
      </c>
      <c r="N41" s="74" t="str">
        <f t="shared" si="3"/>
        <v>0 x 1/2 package (28)</v>
      </c>
      <c r="O41" s="75" t="str">
        <f>IFERROR(VLOOKUP(CONCATENATE(A41,"-","Y"),'Price Comparison'!$C$2:$E$101,3,FALSE),"TBC")</f>
        <v>TBC</v>
      </c>
      <c r="P41" s="81"/>
      <c r="Q41" s="32"/>
      <c r="R41" s="32"/>
      <c r="S41" s="32"/>
      <c r="T41" s="32"/>
      <c r="U41" s="32"/>
      <c r="V41" s="32"/>
      <c r="W41" s="32"/>
    </row>
    <row r="42" spans="1:27" hidden="1" x14ac:dyDescent="0.25">
      <c r="A42" s="124" t="s">
        <v>83</v>
      </c>
      <c r="B42" s="125"/>
      <c r="C42" s="125"/>
      <c r="D42" s="125">
        <v>1</v>
      </c>
      <c r="E42" s="1" t="s">
        <v>21</v>
      </c>
      <c r="F42" s="14"/>
      <c r="G42" s="11">
        <v>380</v>
      </c>
      <c r="H42" s="11">
        <f>SUMIF(Recipes!B:B,A42,Recipes!G:G)</f>
        <v>0</v>
      </c>
      <c r="I42" s="24">
        <f t="shared" si="0"/>
        <v>0</v>
      </c>
      <c r="J42" s="24">
        <f t="shared" si="1"/>
        <v>0</v>
      </c>
      <c r="K42" s="178"/>
      <c r="L42" s="74" t="str">
        <f t="shared" si="2"/>
        <v>0 package</v>
      </c>
      <c r="M42" s="74">
        <v>0</v>
      </c>
      <c r="N42" s="74" t="str">
        <f t="shared" si="3"/>
        <v>0 x package</v>
      </c>
      <c r="O42" s="75" t="str">
        <f>IFERROR(VLOOKUP(CONCATENATE(A42,"-","Y"),'Price Comparison'!$C$2:$E$101,3,FALSE),"TBC")</f>
        <v>TBC</v>
      </c>
      <c r="P42" s="81"/>
      <c r="Q42" s="32"/>
      <c r="R42" s="32"/>
      <c r="S42" s="32"/>
      <c r="T42" s="32"/>
      <c r="U42" s="32"/>
      <c r="V42" s="32"/>
      <c r="W42" s="32"/>
    </row>
    <row r="43" spans="1:27" x14ac:dyDescent="0.25">
      <c r="A43" s="124" t="s">
        <v>84</v>
      </c>
      <c r="B43" s="125">
        <v>10</v>
      </c>
      <c r="C43" s="125">
        <v>32</v>
      </c>
      <c r="D43" s="125">
        <v>1</v>
      </c>
      <c r="E43" s="1" t="s">
        <v>85</v>
      </c>
      <c r="F43" s="14">
        <v>10</v>
      </c>
      <c r="G43" s="11">
        <v>32</v>
      </c>
      <c r="H43" s="11">
        <f>SUMIF(Recipes!B:B,A43,Recipes!G:G)</f>
        <v>7.5</v>
      </c>
      <c r="I43" s="24">
        <f t="shared" si="0"/>
        <v>75</v>
      </c>
      <c r="J43" s="24">
        <f t="shared" si="1"/>
        <v>7.4999999999999997E-2</v>
      </c>
      <c r="K43" s="178" t="s">
        <v>26</v>
      </c>
      <c r="L43" s="74" t="str">
        <f t="shared" si="2"/>
        <v>75 g</v>
      </c>
      <c r="M43" s="74">
        <v>320</v>
      </c>
      <c r="N43" s="74" t="str">
        <f t="shared" si="3"/>
        <v>-245 g</v>
      </c>
      <c r="O43" s="75" t="str">
        <f>IFERROR(VLOOKUP(CONCATENATE(A43,"-","Y"),'Price Comparison'!$C$2:$E$101,3,FALSE),"TBC")</f>
        <v>TBC</v>
      </c>
      <c r="P43" s="81"/>
      <c r="Q43" s="32"/>
      <c r="R43" s="32"/>
      <c r="S43" s="32"/>
      <c r="T43" s="32"/>
      <c r="U43" s="32"/>
      <c r="V43" s="32"/>
      <c r="W43" s="32"/>
    </row>
    <row r="44" spans="1:27" hidden="1" x14ac:dyDescent="0.25">
      <c r="A44" s="124" t="s">
        <v>86</v>
      </c>
      <c r="B44" s="125"/>
      <c r="C44" s="125"/>
      <c r="D44" s="125">
        <v>1</v>
      </c>
      <c r="E44" s="1" t="s">
        <v>63</v>
      </c>
      <c r="F44" s="14">
        <v>40</v>
      </c>
      <c r="G44" s="11">
        <v>200</v>
      </c>
      <c r="H44" s="11">
        <f>SUMIF(Recipes!B:B,A44,Recipes!G:G)</f>
        <v>0</v>
      </c>
      <c r="I44" s="24">
        <f t="shared" si="0"/>
        <v>0</v>
      </c>
      <c r="J44" s="24">
        <f t="shared" si="1"/>
        <v>0</v>
      </c>
      <c r="K44" s="178"/>
      <c r="L44" s="74" t="str">
        <f t="shared" si="2"/>
        <v>0 bar</v>
      </c>
      <c r="M44" s="74"/>
      <c r="N44" s="74" t="str">
        <f t="shared" si="3"/>
        <v>0 x bar</v>
      </c>
      <c r="O44" s="75" t="str">
        <f>IFERROR(VLOOKUP(CONCATENATE(A44,"-","Y"),'Price Comparison'!$C$2:$E$101,3,FALSE),"TBC")</f>
        <v>TBC</v>
      </c>
      <c r="P44" s="81"/>
      <c r="Q44" s="32"/>
      <c r="R44" s="32"/>
      <c r="S44" s="32"/>
      <c r="T44" s="32"/>
      <c r="U44" s="32"/>
      <c r="V44" s="32"/>
      <c r="W44" s="32"/>
    </row>
    <row r="45" spans="1:27" x14ac:dyDescent="0.25">
      <c r="A45" s="124" t="s">
        <v>87</v>
      </c>
      <c r="B45" s="125">
        <v>50</v>
      </c>
      <c r="C45" s="125">
        <v>280</v>
      </c>
      <c r="D45" s="125">
        <v>1</v>
      </c>
      <c r="E45" s="1" t="s">
        <v>88</v>
      </c>
      <c r="F45" s="14">
        <v>50</v>
      </c>
      <c r="G45" s="11">
        <v>280</v>
      </c>
      <c r="H45" s="11">
        <f>SUMIF(Recipes!B:B,A45,Recipes!G:G)</f>
        <v>103</v>
      </c>
      <c r="I45" s="24">
        <f t="shared" si="0"/>
        <v>5150</v>
      </c>
      <c r="J45" s="24">
        <f t="shared" si="1"/>
        <v>5.15</v>
      </c>
      <c r="K45" s="178" t="s">
        <v>19</v>
      </c>
      <c r="L45" s="74" t="str">
        <f t="shared" si="2"/>
        <v>5.15 kg</v>
      </c>
      <c r="M45" s="74">
        <f>11*0.37+4*0.32</f>
        <v>5.3500000000000005</v>
      </c>
      <c r="N45" s="74" t="str">
        <f t="shared" si="3"/>
        <v>-0.2 kg</v>
      </c>
      <c r="O45" s="75" t="str">
        <f>IFERROR(VLOOKUP(CONCATENATE(A45,"-","Y"),'Price Comparison'!$C$2:$E$101,3,FALSE),"TBC")</f>
        <v>TBC</v>
      </c>
      <c r="P45" s="81"/>
      <c r="Q45" s="32" t="s">
        <v>22</v>
      </c>
      <c r="R45" s="32" t="s">
        <v>22</v>
      </c>
      <c r="S45" s="32" t="s">
        <v>22</v>
      </c>
      <c r="T45" s="32" t="s">
        <v>22</v>
      </c>
      <c r="U45" s="32" t="s">
        <v>22</v>
      </c>
      <c r="V45" s="32" t="s">
        <v>22</v>
      </c>
      <c r="W45" s="32" t="s">
        <v>22</v>
      </c>
    </row>
    <row r="46" spans="1:27" x14ac:dyDescent="0.25">
      <c r="A46" s="124" t="s">
        <v>89</v>
      </c>
      <c r="B46" s="125">
        <v>14</v>
      </c>
      <c r="C46" s="125">
        <v>40</v>
      </c>
      <c r="D46" s="125">
        <v>1</v>
      </c>
      <c r="E46" s="1" t="s">
        <v>25</v>
      </c>
      <c r="F46" s="14">
        <v>14</v>
      </c>
      <c r="G46" s="11">
        <v>40</v>
      </c>
      <c r="H46" s="11">
        <f>SUMIF(Recipes!B:B,A46,Recipes!G:G)</f>
        <v>61.25</v>
      </c>
      <c r="I46" s="24">
        <f t="shared" si="0"/>
        <v>857.5</v>
      </c>
      <c r="J46" s="24">
        <f t="shared" si="1"/>
        <v>0.85750000000000004</v>
      </c>
      <c r="K46" s="178" t="s">
        <v>26</v>
      </c>
      <c r="L46" s="74" t="str">
        <f t="shared" si="2"/>
        <v>857.5 g</v>
      </c>
      <c r="M46" s="74">
        <f>10*85</f>
        <v>850</v>
      </c>
      <c r="N46" s="74" t="str">
        <f t="shared" si="3"/>
        <v>7.5 g</v>
      </c>
      <c r="O46" s="75" t="str">
        <f>IFERROR(VLOOKUP(CONCATENATE(A46,"-","Y"),'Price Comparison'!$C$2:$E$101,3,FALSE),"TBC")</f>
        <v>TBC</v>
      </c>
      <c r="P46" s="81"/>
      <c r="Q46" s="32"/>
      <c r="R46" s="32"/>
      <c r="S46" s="32"/>
      <c r="T46" s="32"/>
      <c r="U46" s="32"/>
      <c r="V46" s="32"/>
      <c r="W46" s="32"/>
    </row>
    <row r="47" spans="1:27" ht="30" x14ac:dyDescent="0.25">
      <c r="A47" s="124" t="s">
        <v>90</v>
      </c>
      <c r="B47" s="125">
        <v>71</v>
      </c>
      <c r="C47" s="125">
        <v>310</v>
      </c>
      <c r="D47" s="125">
        <v>1</v>
      </c>
      <c r="E47" s="1" t="s">
        <v>91</v>
      </c>
      <c r="F47" s="14">
        <v>71</v>
      </c>
      <c r="G47" s="11">
        <v>310</v>
      </c>
      <c r="H47" s="11">
        <f>SUMIF(Recipes!B:B,A47,Recipes!G:G)</f>
        <v>35</v>
      </c>
      <c r="I47" s="24">
        <f t="shared" ref="I47:I54" si="4">H47*F47</f>
        <v>2485</v>
      </c>
      <c r="J47" s="24">
        <f t="shared" si="1"/>
        <v>2.4849999999999999</v>
      </c>
      <c r="K47" s="178"/>
      <c r="L47" s="74" t="str">
        <f t="shared" ref="L47:L54" si="5">IF(K47="g",CONCATENATE(I47," g"),IF(K47="kg",CONCATENATE(J47," kg"),CONCATENATE(H47," ",E47)))</f>
        <v>35 1/2 package (g)</v>
      </c>
      <c r="M47" s="74">
        <f>2+34</f>
        <v>36</v>
      </c>
      <c r="N47" s="74" t="str">
        <f t="shared" si="3"/>
        <v>-1 x 1/2 package (g)</v>
      </c>
      <c r="O47" s="75" t="str">
        <f>IFERROR(VLOOKUP(CONCATENATE(A47,"-","Y"),'Price Comparison'!$C$2:$E$101,3,FALSE),"TBC")</f>
        <v>TBC</v>
      </c>
      <c r="P47" s="81"/>
      <c r="Q47" s="32"/>
      <c r="R47" s="32"/>
      <c r="S47" s="32"/>
      <c r="T47" s="32"/>
      <c r="U47" s="32"/>
      <c r="V47" s="32"/>
      <c r="W47" s="32"/>
    </row>
    <row r="48" spans="1:27" hidden="1" x14ac:dyDescent="0.25">
      <c r="A48" s="124" t="s">
        <v>92</v>
      </c>
      <c r="B48" s="125"/>
      <c r="C48" s="125"/>
      <c r="D48" s="125">
        <v>1</v>
      </c>
      <c r="E48" s="1"/>
      <c r="F48" s="14"/>
      <c r="G48" s="11"/>
      <c r="H48" s="11">
        <f>SUMIF(Recipes!B:B,A48,Recipes!G:G)</f>
        <v>0</v>
      </c>
      <c r="I48" s="24">
        <f t="shared" si="4"/>
        <v>0</v>
      </c>
      <c r="J48" s="24">
        <f t="shared" si="1"/>
        <v>0</v>
      </c>
      <c r="K48" s="178"/>
      <c r="L48" s="74" t="str">
        <f t="shared" si="5"/>
        <v xml:space="preserve">0 </v>
      </c>
      <c r="M48" s="74">
        <v>0</v>
      </c>
      <c r="N48" s="74" t="str">
        <f t="shared" si="3"/>
        <v xml:space="preserve">0 x </v>
      </c>
      <c r="O48" s="75" t="str">
        <f>IFERROR(VLOOKUP(CONCATENATE(A48,"-","Y"),'Price Comparison'!$C$2:$E$101,3,FALSE),"TBC")</f>
        <v>TBC</v>
      </c>
      <c r="P48" s="81"/>
      <c r="Q48" s="32"/>
      <c r="R48" s="32"/>
      <c r="S48" s="32"/>
      <c r="T48" s="32"/>
      <c r="U48" s="32"/>
      <c r="V48" s="32"/>
      <c r="W48" s="32"/>
    </row>
    <row r="49" spans="1:24" x14ac:dyDescent="0.25">
      <c r="A49" s="124" t="s">
        <v>93</v>
      </c>
      <c r="B49" s="125"/>
      <c r="C49" s="125"/>
      <c r="D49" s="125">
        <v>1</v>
      </c>
      <c r="E49" s="1" t="s">
        <v>46</v>
      </c>
      <c r="F49" s="14">
        <v>43</v>
      </c>
      <c r="G49" s="11">
        <v>230</v>
      </c>
      <c r="H49" s="11">
        <f>SUMIF(Recipes!B:B,A49,Recipes!G:G)</f>
        <v>94</v>
      </c>
      <c r="I49" s="24">
        <f t="shared" si="4"/>
        <v>4042</v>
      </c>
      <c r="J49" s="24">
        <f t="shared" si="1"/>
        <v>4.0419999999999998</v>
      </c>
      <c r="K49" s="178"/>
      <c r="L49" s="74" t="str">
        <f t="shared" si="5"/>
        <v>94 piece</v>
      </c>
      <c r="M49" s="74">
        <f>(13*5)+40</f>
        <v>105</v>
      </c>
      <c r="N49" s="74" t="str">
        <f t="shared" si="3"/>
        <v>-11 x piece</v>
      </c>
      <c r="O49" s="75" t="str">
        <f>IFERROR(VLOOKUP(CONCATENATE(A49,"-","Y"),'Price Comparison'!$C$2:$E$101,3,FALSE),"TBC")</f>
        <v>TBC</v>
      </c>
      <c r="P49" s="81"/>
      <c r="Q49" s="32" t="s">
        <v>22</v>
      </c>
      <c r="R49" s="32" t="s">
        <v>22</v>
      </c>
      <c r="S49" s="32" t="s">
        <v>22</v>
      </c>
      <c r="T49" s="32" t="s">
        <v>22</v>
      </c>
      <c r="U49" s="32" t="s">
        <v>22</v>
      </c>
      <c r="V49" s="32" t="s">
        <v>22</v>
      </c>
      <c r="W49" s="32" t="s">
        <v>22</v>
      </c>
      <c r="X49" s="165" t="s">
        <v>27</v>
      </c>
    </row>
    <row r="50" spans="1:24" x14ac:dyDescent="0.25">
      <c r="A50" s="124" t="s">
        <v>94</v>
      </c>
      <c r="B50" s="125"/>
      <c r="C50" s="125"/>
      <c r="D50" s="125">
        <v>1</v>
      </c>
      <c r="E50" s="1" t="s">
        <v>21</v>
      </c>
      <c r="F50" s="14">
        <v>3.3</v>
      </c>
      <c r="G50" s="11">
        <v>5</v>
      </c>
      <c r="H50" s="11">
        <f>SUMIF(Recipes!B:B,A50,Recipes!G:G)</f>
        <v>94</v>
      </c>
      <c r="I50" s="24">
        <f t="shared" si="4"/>
        <v>310.2</v>
      </c>
      <c r="J50" s="24">
        <f t="shared" si="1"/>
        <v>0.31019999999999998</v>
      </c>
      <c r="K50" s="178"/>
      <c r="L50" s="74" t="str">
        <f t="shared" si="5"/>
        <v>94 package</v>
      </c>
      <c r="M50" s="74">
        <f>12*8+4</f>
        <v>100</v>
      </c>
      <c r="N50" s="74" t="str">
        <f t="shared" si="3"/>
        <v>-6 x package</v>
      </c>
      <c r="O50" s="75" t="str">
        <f>IFERROR(VLOOKUP(CONCATENATE(A50,"-","Y"),'Price Comparison'!$C$2:$E$101,3,FALSE),"TBC")</f>
        <v>TBC</v>
      </c>
      <c r="P50" s="81"/>
      <c r="Q50" s="32" t="s">
        <v>22</v>
      </c>
      <c r="R50" s="32" t="s">
        <v>22</v>
      </c>
      <c r="S50" s="32" t="s">
        <v>22</v>
      </c>
      <c r="T50" s="32" t="s">
        <v>22</v>
      </c>
      <c r="U50" s="32" t="s">
        <v>22</v>
      </c>
      <c r="V50" s="32" t="s">
        <v>22</v>
      </c>
      <c r="W50" s="32" t="s">
        <v>22</v>
      </c>
    </row>
    <row r="51" spans="1:24" x14ac:dyDescent="0.25">
      <c r="A51" s="124" t="s">
        <v>95</v>
      </c>
      <c r="B51" s="125">
        <v>7</v>
      </c>
      <c r="C51" s="125">
        <v>25</v>
      </c>
      <c r="D51" s="125">
        <v>1</v>
      </c>
      <c r="E51" s="1" t="s">
        <v>96</v>
      </c>
      <c r="F51" s="14">
        <v>7</v>
      </c>
      <c r="G51" s="11">
        <v>25</v>
      </c>
      <c r="H51" s="11">
        <f>SUMIF(Recipes!B:B,A51,Recipes!G:G)</f>
        <v>35</v>
      </c>
      <c r="I51" s="24">
        <f t="shared" si="4"/>
        <v>245</v>
      </c>
      <c r="J51" s="24">
        <f t="shared" ref="J51:J54" si="6">I51/1000</f>
        <v>0.245</v>
      </c>
      <c r="K51" s="178" t="s">
        <v>26</v>
      </c>
      <c r="L51" s="74" t="str">
        <f t="shared" si="5"/>
        <v>245 g</v>
      </c>
      <c r="M51" s="74">
        <f>35+240</f>
        <v>275</v>
      </c>
      <c r="N51" s="74" t="str">
        <f t="shared" si="3"/>
        <v>-30 g</v>
      </c>
      <c r="O51" s="75" t="str">
        <f>IFERROR(VLOOKUP(CONCATENATE(A51,"-","Y"),'Price Comparison'!$C$2:$E$101,3,FALSE),"TBC")</f>
        <v>TBC</v>
      </c>
      <c r="P51" s="81"/>
      <c r="Q51" s="32"/>
      <c r="R51" s="32"/>
      <c r="S51" s="32"/>
      <c r="T51" s="32"/>
      <c r="U51" s="32"/>
      <c r="V51" s="32"/>
      <c r="W51" s="32"/>
    </row>
    <row r="52" spans="1:24" hidden="1" x14ac:dyDescent="0.25">
      <c r="A52" s="124" t="s">
        <v>97</v>
      </c>
      <c r="B52" s="125"/>
      <c r="C52" s="125"/>
      <c r="D52" s="125">
        <v>1</v>
      </c>
      <c r="E52" s="1" t="s">
        <v>98</v>
      </c>
      <c r="F52" s="14"/>
      <c r="G52" s="11"/>
      <c r="H52" s="11">
        <f>SUMIF(Recipes!B:B,A52,Recipes!G:G)</f>
        <v>0</v>
      </c>
      <c r="I52" s="24">
        <f t="shared" si="4"/>
        <v>0</v>
      </c>
      <c r="J52" s="24">
        <f t="shared" si="6"/>
        <v>0</v>
      </c>
      <c r="K52" s="178"/>
      <c r="L52" s="74" t="str">
        <f t="shared" si="5"/>
        <v>0 teaspoon</v>
      </c>
      <c r="M52" s="74">
        <v>0</v>
      </c>
      <c r="N52" s="74" t="str">
        <f t="shared" si="3"/>
        <v>0 x teaspoon</v>
      </c>
      <c r="O52" s="75" t="str">
        <f>IFERROR(VLOOKUP(CONCATENATE(A52,"-","Y"),'Price Comparison'!$C$2:$E$101,3,FALSE),"TBC")</f>
        <v>TBC</v>
      </c>
      <c r="P52" s="81"/>
      <c r="Q52" s="32"/>
      <c r="R52" s="32"/>
      <c r="S52" s="32"/>
      <c r="T52" s="32"/>
      <c r="U52" s="32"/>
      <c r="V52" s="32"/>
      <c r="W52" s="32"/>
    </row>
    <row r="53" spans="1:24" x14ac:dyDescent="0.25">
      <c r="A53" s="124" t="s">
        <v>99</v>
      </c>
      <c r="B53" s="125">
        <v>5</v>
      </c>
      <c r="C53" s="125">
        <v>11</v>
      </c>
      <c r="D53" s="126">
        <v>1</v>
      </c>
      <c r="E53" s="1" t="s">
        <v>25</v>
      </c>
      <c r="F53" s="14">
        <v>5</v>
      </c>
      <c r="G53" s="11">
        <v>11</v>
      </c>
      <c r="H53" s="11">
        <f>SUMIF(Recipes!B:B,A53,Recipes!G:G)</f>
        <v>10.5</v>
      </c>
      <c r="I53" s="24">
        <f t="shared" si="4"/>
        <v>52.5</v>
      </c>
      <c r="J53" s="24">
        <f t="shared" si="6"/>
        <v>5.2499999999999998E-2</v>
      </c>
      <c r="K53" s="178" t="s">
        <v>26</v>
      </c>
      <c r="L53" s="74" t="str">
        <f t="shared" si="5"/>
        <v>52.5 g</v>
      </c>
      <c r="M53" s="74">
        <f>37*2</f>
        <v>74</v>
      </c>
      <c r="N53" s="74" t="str">
        <f t="shared" si="3"/>
        <v>-21.5 g</v>
      </c>
      <c r="O53" s="75" t="str">
        <f>IFERROR(VLOOKUP(CONCATENATE(A53,"-","Y"),'Price Comparison'!$C$2:$E$101,3,FALSE),"TBC")</f>
        <v>TBC</v>
      </c>
      <c r="P53" s="81"/>
      <c r="Q53" s="32"/>
      <c r="R53" s="32"/>
      <c r="S53" s="32"/>
      <c r="T53" s="32"/>
      <c r="U53" s="32"/>
      <c r="V53" s="32"/>
      <c r="W53" s="32"/>
    </row>
    <row r="54" spans="1:24" x14ac:dyDescent="0.25">
      <c r="A54" s="124" t="s">
        <v>100</v>
      </c>
      <c r="B54" s="125">
        <v>68</v>
      </c>
      <c r="C54" s="125">
        <v>250</v>
      </c>
      <c r="D54" s="125">
        <v>1</v>
      </c>
      <c r="E54" s="1" t="s">
        <v>63</v>
      </c>
      <c r="F54" s="14">
        <v>68</v>
      </c>
      <c r="G54" s="11">
        <v>250</v>
      </c>
      <c r="H54" s="11">
        <f>SUMIF(Recipes!B:B,A54,Recipes!G:G)</f>
        <v>70.5</v>
      </c>
      <c r="I54" s="24">
        <f t="shared" si="4"/>
        <v>4794</v>
      </c>
      <c r="J54" s="24">
        <f t="shared" si="6"/>
        <v>4.7939999999999996</v>
      </c>
      <c r="K54" s="178"/>
      <c r="L54" s="74" t="str">
        <f t="shared" si="5"/>
        <v>70.5 bar</v>
      </c>
      <c r="M54" s="74">
        <f>(4*12)+(18*2)</f>
        <v>84</v>
      </c>
      <c r="N54" s="74" t="str">
        <f t="shared" si="3"/>
        <v>-13.5 x bar</v>
      </c>
      <c r="O54" s="75" t="str">
        <f>IFERROR(VLOOKUP(CONCATENATE(A54,"-","Y"),'Price Comparison'!$C$2:$E$101,3,FALSE),"TBC")</f>
        <v>TBC</v>
      </c>
      <c r="P54" s="81"/>
      <c r="Q54" s="32" t="s">
        <v>22</v>
      </c>
      <c r="R54" s="32" t="s">
        <v>22</v>
      </c>
      <c r="S54" s="32" t="s">
        <v>22</v>
      </c>
      <c r="T54" s="32" t="s">
        <v>22</v>
      </c>
      <c r="U54" s="32" t="s">
        <v>22</v>
      </c>
      <c r="V54" s="32" t="s">
        <v>22</v>
      </c>
      <c r="W54" s="32" t="s">
        <v>22</v>
      </c>
      <c r="X54" s="165" t="s">
        <v>27</v>
      </c>
    </row>
    <row r="55" spans="1:24" x14ac:dyDescent="0.25">
      <c r="A55" s="124" t="s">
        <v>101</v>
      </c>
      <c r="B55" s="125">
        <v>45</v>
      </c>
      <c r="C55" s="125">
        <v>210</v>
      </c>
      <c r="D55" s="125">
        <v>1</v>
      </c>
      <c r="E55" s="1" t="s">
        <v>63</v>
      </c>
      <c r="F55" s="14">
        <v>45</v>
      </c>
      <c r="G55" s="11">
        <v>210</v>
      </c>
      <c r="H55" s="11">
        <f>SUMIF(Recipes!B:B,A55,Recipes!G:G)</f>
        <v>27</v>
      </c>
      <c r="I55" s="24">
        <f t="shared" ref="I55:I75" si="7">H55*F55</f>
        <v>1215</v>
      </c>
      <c r="J55" s="24">
        <f t="shared" ref="J55:J75" si="8">I55/1000</f>
        <v>1.2150000000000001</v>
      </c>
      <c r="K55" s="178"/>
      <c r="L55" s="74" t="str">
        <f t="shared" ref="L55:L75" si="9">IF(K55="g",CONCATENATE(I55," g"),IF(K55="kg",CONCATENATE(J55," kg"),CONCATENATE(H55," ",E55)))</f>
        <v>27 bar</v>
      </c>
      <c r="M55" s="74">
        <f>16*2</f>
        <v>32</v>
      </c>
      <c r="N55" s="74" t="str">
        <f t="shared" si="3"/>
        <v>-5 x bar</v>
      </c>
      <c r="O55" s="75" t="str">
        <f>IFERROR(VLOOKUP(CONCATENATE(A55,"-","Y"),'Price Comparison'!$C$2:$E$101,3,FALSE),"TBC")</f>
        <v>TBC</v>
      </c>
      <c r="P55" s="81"/>
      <c r="Q55" s="32" t="s">
        <v>22</v>
      </c>
      <c r="R55" s="32" t="s">
        <v>22</v>
      </c>
      <c r="S55" s="32" t="s">
        <v>22</v>
      </c>
      <c r="T55" s="32" t="s">
        <v>22</v>
      </c>
      <c r="U55" s="32" t="s">
        <v>22</v>
      </c>
      <c r="V55" s="32" t="s">
        <v>22</v>
      </c>
      <c r="W55" s="32" t="s">
        <v>22</v>
      </c>
    </row>
    <row r="56" spans="1:24" x14ac:dyDescent="0.25">
      <c r="A56" s="124" t="s">
        <v>102</v>
      </c>
      <c r="B56" s="125">
        <v>40</v>
      </c>
      <c r="C56" s="125">
        <v>170</v>
      </c>
      <c r="D56" s="125">
        <v>1</v>
      </c>
      <c r="E56" s="1" t="s">
        <v>63</v>
      </c>
      <c r="F56" s="14">
        <v>40</v>
      </c>
      <c r="G56" s="11">
        <v>200</v>
      </c>
      <c r="H56" s="11">
        <f>SUMIF(Recipes!B:B,A56,Recipes!G:G)</f>
        <v>100.5</v>
      </c>
      <c r="I56" s="24">
        <f t="shared" si="7"/>
        <v>4020</v>
      </c>
      <c r="J56" s="24">
        <f t="shared" si="8"/>
        <v>4.0199999999999996</v>
      </c>
      <c r="K56" s="178"/>
      <c r="L56" s="74" t="str">
        <f t="shared" si="9"/>
        <v>100.5 bar</v>
      </c>
      <c r="M56" s="74">
        <f>(12*3)+(18*4)</f>
        <v>108</v>
      </c>
      <c r="N56" s="74" t="str">
        <f t="shared" si="3"/>
        <v>-7.5 x bar</v>
      </c>
      <c r="O56" s="75" t="str">
        <f>IFERROR(VLOOKUP(CONCATENATE(A56,"-","Y"),'Price Comparison'!$C$2:$E$101,3,FALSE),"TBC")</f>
        <v>TBC</v>
      </c>
      <c r="P56" s="81"/>
      <c r="Q56" s="32" t="s">
        <v>22</v>
      </c>
      <c r="R56" s="32" t="s">
        <v>22</v>
      </c>
      <c r="S56" s="32" t="s">
        <v>22</v>
      </c>
      <c r="T56" s="32" t="s">
        <v>22</v>
      </c>
      <c r="U56" s="32" t="s">
        <v>22</v>
      </c>
      <c r="V56" s="32" t="s">
        <v>22</v>
      </c>
      <c r="W56" s="32" t="s">
        <v>22</v>
      </c>
    </row>
    <row r="57" spans="1:24" hidden="1" x14ac:dyDescent="0.25">
      <c r="A57" s="124" t="s">
        <v>103</v>
      </c>
      <c r="B57" s="125">
        <v>35</v>
      </c>
      <c r="C57" s="125">
        <v>140</v>
      </c>
      <c r="D57" s="125">
        <v>1</v>
      </c>
      <c r="E57" s="1" t="s">
        <v>63</v>
      </c>
      <c r="F57" s="14">
        <v>35</v>
      </c>
      <c r="G57" s="11">
        <v>140</v>
      </c>
      <c r="H57" s="11">
        <f>SUMIF(Recipes!B:B,A57,Recipes!G:G)</f>
        <v>0</v>
      </c>
      <c r="I57" s="24">
        <f t="shared" si="7"/>
        <v>0</v>
      </c>
      <c r="J57" s="24">
        <f t="shared" si="8"/>
        <v>0</v>
      </c>
      <c r="K57" s="178"/>
      <c r="L57" s="74" t="str">
        <f t="shared" si="9"/>
        <v>0 bar</v>
      </c>
      <c r="M57" s="74"/>
      <c r="N57" s="74" t="str">
        <f t="shared" si="3"/>
        <v>0 x bar</v>
      </c>
      <c r="O57" s="75" t="str">
        <f>IFERROR(VLOOKUP(CONCATENATE(A57,"-","Y"),'Price Comparison'!$C$2:$E$101,3,FALSE),"TBC")</f>
        <v>TBC</v>
      </c>
      <c r="P57" s="81"/>
      <c r="Q57" s="32"/>
      <c r="R57" s="32"/>
      <c r="S57" s="32"/>
      <c r="T57" s="32"/>
      <c r="U57" s="32"/>
      <c r="V57" s="32"/>
      <c r="W57" s="32"/>
    </row>
    <row r="58" spans="1:24" s="91" customFormat="1" ht="30" x14ac:dyDescent="0.25">
      <c r="A58" s="127" t="s">
        <v>104</v>
      </c>
      <c r="B58" s="125">
        <v>52</v>
      </c>
      <c r="C58" s="125">
        <v>200</v>
      </c>
      <c r="D58" s="125">
        <v>1</v>
      </c>
      <c r="E58" s="128" t="s">
        <v>105</v>
      </c>
      <c r="F58" s="14">
        <v>50</v>
      </c>
      <c r="G58" s="14">
        <f>C58</f>
        <v>200</v>
      </c>
      <c r="H58" s="14">
        <f>SUMIF(Recipes!B:B,A58,Recipes!G:G)</f>
        <v>32</v>
      </c>
      <c r="I58" s="112">
        <f t="shared" si="7"/>
        <v>1600</v>
      </c>
      <c r="J58" s="112">
        <f t="shared" si="8"/>
        <v>1.6</v>
      </c>
      <c r="K58" s="113"/>
      <c r="L58" s="114" t="str">
        <f t="shared" si="9"/>
        <v>32 Pastry (1/2 foil package)</v>
      </c>
      <c r="M58" s="114">
        <f>8+(4*8)</f>
        <v>40</v>
      </c>
      <c r="N58" s="114" t="str">
        <f t="shared" si="3"/>
        <v>-8 x Pastry (1/2 foil package)</v>
      </c>
      <c r="O58" s="115" t="str">
        <f>IFERROR(VLOOKUP(CONCATENATE(A58,"-","Y"),'Price Comparison'!$C$2:$E$101,3,FALSE),"TBC")</f>
        <v>TBC</v>
      </c>
      <c r="P58" s="116"/>
      <c r="Q58" s="109" t="s">
        <v>22</v>
      </c>
      <c r="R58" s="109" t="s">
        <v>22</v>
      </c>
      <c r="S58" s="109" t="s">
        <v>22</v>
      </c>
      <c r="T58" s="109" t="s">
        <v>22</v>
      </c>
      <c r="U58" s="109" t="s">
        <v>22</v>
      </c>
      <c r="V58" s="109" t="s">
        <v>22</v>
      </c>
      <c r="W58" s="109" t="s">
        <v>22</v>
      </c>
      <c r="X58" s="105"/>
    </row>
    <row r="59" spans="1:24" ht="30" x14ac:dyDescent="0.25">
      <c r="A59" s="124" t="s">
        <v>106</v>
      </c>
      <c r="B59" s="125">
        <v>32</v>
      </c>
      <c r="C59" s="125">
        <v>120</v>
      </c>
      <c r="D59" s="125">
        <v>1</v>
      </c>
      <c r="E59" s="1" t="s">
        <v>107</v>
      </c>
      <c r="F59" s="14">
        <v>23</v>
      </c>
      <c r="G59" s="11">
        <v>80</v>
      </c>
      <c r="H59" s="11">
        <f>SUMIF(Recipes!B:B,A59,Recipes!G:G)</f>
        <v>271.92857142857144</v>
      </c>
      <c r="I59" s="24">
        <f t="shared" si="7"/>
        <v>6254.3571428571431</v>
      </c>
      <c r="J59" s="24">
        <f t="shared" si="8"/>
        <v>6.2543571428571427</v>
      </c>
      <c r="K59" s="178" t="s">
        <v>19</v>
      </c>
      <c r="L59" s="74" t="str">
        <f t="shared" si="9"/>
        <v>6.25435714285714 kg</v>
      </c>
      <c r="M59" s="74">
        <f>0.46+(0.56*5)+(1.45*3)</f>
        <v>7.6099999999999994</v>
      </c>
      <c r="N59" s="74" t="str">
        <f t="shared" si="3"/>
        <v>-1.36 kg</v>
      </c>
      <c r="O59" s="75" t="str">
        <f>IFERROR(VLOOKUP(CONCATENATE(A59,"-","Y"),'Price Comparison'!$C$2:$E$101,3,FALSE),"TBC")</f>
        <v>TBC</v>
      </c>
      <c r="P59" s="81"/>
      <c r="Q59" s="32" t="s">
        <v>22</v>
      </c>
      <c r="R59" s="32" t="s">
        <v>22</v>
      </c>
      <c r="S59" s="32" t="s">
        <v>22</v>
      </c>
      <c r="T59" s="32" t="s">
        <v>22</v>
      </c>
      <c r="U59" s="32" t="s">
        <v>22</v>
      </c>
      <c r="V59" s="32" t="s">
        <v>22</v>
      </c>
      <c r="W59" s="32" t="s">
        <v>22</v>
      </c>
    </row>
    <row r="60" spans="1:24" x14ac:dyDescent="0.25">
      <c r="A60" s="124" t="s">
        <v>108</v>
      </c>
      <c r="B60" s="125">
        <v>40</v>
      </c>
      <c r="C60" s="125">
        <v>140</v>
      </c>
      <c r="D60" s="125">
        <v>1</v>
      </c>
      <c r="E60" s="1" t="s">
        <v>21</v>
      </c>
      <c r="F60" s="14">
        <v>40</v>
      </c>
      <c r="G60" s="11">
        <v>150</v>
      </c>
      <c r="H60" s="11">
        <f>SUMIF(Recipes!B:B,A60,Recipes!G:G)</f>
        <v>16</v>
      </c>
      <c r="I60" s="24">
        <f t="shared" si="7"/>
        <v>640</v>
      </c>
      <c r="J60" s="24">
        <f t="shared" si="8"/>
        <v>0.64</v>
      </c>
      <c r="K60" s="178"/>
      <c r="L60" s="74" t="str">
        <f t="shared" si="9"/>
        <v>16 package</v>
      </c>
      <c r="M60" s="74">
        <f>9+10</f>
        <v>19</v>
      </c>
      <c r="N60" s="74" t="str">
        <f t="shared" si="3"/>
        <v>-3 x package</v>
      </c>
      <c r="O60" s="75" t="str">
        <f>IFERROR(VLOOKUP(CONCATENATE(A60,"-","Y"),'Price Comparison'!$C$2:$E$101,3,FALSE),"TBC")</f>
        <v>TBC</v>
      </c>
      <c r="P60" s="81"/>
      <c r="Q60" s="32" t="s">
        <v>22</v>
      </c>
      <c r="R60" s="32" t="s">
        <v>22</v>
      </c>
      <c r="S60" s="32" t="s">
        <v>22</v>
      </c>
      <c r="T60" s="32" t="s">
        <v>22</v>
      </c>
      <c r="U60" s="32" t="s">
        <v>22</v>
      </c>
      <c r="V60" s="32" t="s">
        <v>22</v>
      </c>
      <c r="W60" s="32" t="s">
        <v>22</v>
      </c>
    </row>
    <row r="61" spans="1:24" x14ac:dyDescent="0.25">
      <c r="A61" s="124" t="s">
        <v>109</v>
      </c>
      <c r="B61" s="125">
        <v>128</v>
      </c>
      <c r="C61" s="125">
        <v>100</v>
      </c>
      <c r="D61" s="125">
        <v>1</v>
      </c>
      <c r="E61" s="1" t="s">
        <v>110</v>
      </c>
      <c r="F61" s="14">
        <v>150</v>
      </c>
      <c r="G61" s="11">
        <f>C61</f>
        <v>100</v>
      </c>
      <c r="H61" s="11">
        <f>SUMIF(Recipes!B:B,A61,Recipes!G:G)</f>
        <v>51.5</v>
      </c>
      <c r="I61" s="24">
        <f t="shared" si="7"/>
        <v>7725</v>
      </c>
      <c r="J61" s="24">
        <f t="shared" si="8"/>
        <v>7.7249999999999996</v>
      </c>
      <c r="K61" s="178"/>
      <c r="L61" s="74" t="str">
        <f t="shared" si="9"/>
        <v>51.5 Package</v>
      </c>
      <c r="M61" s="74">
        <f>1+60</f>
        <v>61</v>
      </c>
      <c r="N61" s="74" t="str">
        <f t="shared" si="3"/>
        <v>-9.5 x Package</v>
      </c>
      <c r="O61" s="75" t="str">
        <f>IFERROR(VLOOKUP(CONCATENATE(A61,"-","Y"),'Price Comparison'!$C$2:$E$101,3,FALSE),"TBC")</f>
        <v>TBC</v>
      </c>
      <c r="P61" s="81"/>
      <c r="Q61" s="32" t="s">
        <v>22</v>
      </c>
      <c r="R61" s="32" t="s">
        <v>22</v>
      </c>
      <c r="S61" s="32" t="s">
        <v>22</v>
      </c>
      <c r="T61" s="32" t="s">
        <v>22</v>
      </c>
      <c r="U61" s="32" t="s">
        <v>22</v>
      </c>
      <c r="V61" s="32" t="s">
        <v>22</v>
      </c>
      <c r="W61" s="32" t="s">
        <v>22</v>
      </c>
    </row>
    <row r="62" spans="1:24" x14ac:dyDescent="0.25">
      <c r="A62" s="124" t="s">
        <v>111</v>
      </c>
      <c r="B62" s="125"/>
      <c r="C62" s="125"/>
      <c r="D62" s="125"/>
      <c r="E62" s="1" t="s">
        <v>63</v>
      </c>
      <c r="F62" s="14">
        <v>35</v>
      </c>
      <c r="G62" s="11">
        <v>150</v>
      </c>
      <c r="H62" s="11">
        <f>SUMIF(Recipes!B:B,A62,Recipes!G:G)</f>
        <v>84</v>
      </c>
      <c r="I62" s="24">
        <f t="shared" si="7"/>
        <v>2940</v>
      </c>
      <c r="J62" s="24">
        <f t="shared" si="8"/>
        <v>2.94</v>
      </c>
      <c r="K62" s="178"/>
      <c r="L62" s="74" t="str">
        <f t="shared" si="9"/>
        <v>84 bar</v>
      </c>
      <c r="M62" s="74">
        <f>7+20</f>
        <v>27</v>
      </c>
      <c r="N62" s="74" t="str">
        <f t="shared" si="3"/>
        <v>57 x bar</v>
      </c>
      <c r="O62" s="75" t="str">
        <f>IFERROR(VLOOKUP(CONCATENATE(A62,"-","Y"),'Price Comparison'!$C$2:$E$101,3,FALSE),"TBC")</f>
        <v>TBC</v>
      </c>
      <c r="P62" s="81"/>
      <c r="Q62" s="32" t="s">
        <v>22</v>
      </c>
      <c r="R62" s="32" t="s">
        <v>22</v>
      </c>
      <c r="S62" s="32" t="s">
        <v>22</v>
      </c>
      <c r="T62" s="32" t="s">
        <v>22</v>
      </c>
      <c r="U62" s="32" t="s">
        <v>22</v>
      </c>
      <c r="V62" s="32" t="s">
        <v>22</v>
      </c>
      <c r="W62" s="32" t="s">
        <v>22</v>
      </c>
      <c r="X62" s="165" t="s">
        <v>112</v>
      </c>
    </row>
    <row r="63" spans="1:24" x14ac:dyDescent="0.25">
      <c r="A63" s="124" t="s">
        <v>113</v>
      </c>
      <c r="B63" s="125"/>
      <c r="C63" s="125"/>
      <c r="D63" s="125"/>
      <c r="E63" s="1" t="s">
        <v>114</v>
      </c>
      <c r="F63" s="14">
        <v>10</v>
      </c>
      <c r="G63" s="129">
        <v>70</v>
      </c>
      <c r="H63" s="11">
        <f>SUMIF(Recipes!B:B,A63,Recipes!G:G)</f>
        <v>70</v>
      </c>
      <c r="I63" s="24">
        <f t="shared" si="7"/>
        <v>700</v>
      </c>
      <c r="J63" s="24">
        <f t="shared" si="8"/>
        <v>0.7</v>
      </c>
      <c r="K63" s="178"/>
      <c r="L63" s="74" t="str">
        <f t="shared" si="9"/>
        <v>70 packet</v>
      </c>
      <c r="M63" s="74">
        <v>208</v>
      </c>
      <c r="N63" s="74" t="str">
        <f t="shared" si="3"/>
        <v>-138 x packet</v>
      </c>
      <c r="O63" s="75" t="str">
        <f>IFERROR(VLOOKUP(CONCATENATE(A63,"-","Y"),'Price Comparison'!$C$2:$E$101,3,FALSE),"TBC")</f>
        <v>TBC</v>
      </c>
      <c r="P63" s="81"/>
      <c r="Q63" s="32" t="s">
        <v>22</v>
      </c>
      <c r="R63" s="32" t="s">
        <v>22</v>
      </c>
      <c r="S63" s="32" t="s">
        <v>22</v>
      </c>
      <c r="T63" s="32" t="s">
        <v>22</v>
      </c>
      <c r="U63" s="32" t="s">
        <v>22</v>
      </c>
      <c r="V63" s="32" t="s">
        <v>22</v>
      </c>
      <c r="W63" s="32" t="s">
        <v>22</v>
      </c>
    </row>
    <row r="64" spans="1:24" x14ac:dyDescent="0.25">
      <c r="A64" s="124" t="s">
        <v>115</v>
      </c>
      <c r="B64" s="125"/>
      <c r="C64" s="125"/>
      <c r="D64" s="125"/>
      <c r="E64" s="1" t="s">
        <v>63</v>
      </c>
      <c r="F64" s="14">
        <v>70</v>
      </c>
      <c r="G64" s="11">
        <v>290</v>
      </c>
      <c r="H64" s="11">
        <f>SUMIF(Recipes!B:B,A64,Recipes!G:G)</f>
        <v>15</v>
      </c>
      <c r="I64" s="24">
        <f t="shared" si="7"/>
        <v>1050</v>
      </c>
      <c r="J64" s="24">
        <f t="shared" si="8"/>
        <v>1.05</v>
      </c>
      <c r="K64" s="178"/>
      <c r="L64" s="74" t="str">
        <f t="shared" si="9"/>
        <v>15 bar</v>
      </c>
      <c r="M64" s="74">
        <v>0</v>
      </c>
      <c r="N64" s="74" t="str">
        <f t="shared" si="3"/>
        <v>15 x bar</v>
      </c>
      <c r="O64" s="75" t="str">
        <f>IFERROR(VLOOKUP(CONCATENATE(A64,"-","Y"),'Price Comparison'!$C$2:$E$101,3,FALSE),"TBC")</f>
        <v>TBC</v>
      </c>
      <c r="P64" s="81"/>
      <c r="Q64" s="32" t="s">
        <v>22</v>
      </c>
      <c r="R64" s="32" t="s">
        <v>22</v>
      </c>
      <c r="S64" s="32" t="s">
        <v>22</v>
      </c>
      <c r="T64" s="32" t="s">
        <v>22</v>
      </c>
      <c r="U64" s="32" t="s">
        <v>22</v>
      </c>
      <c r="V64" s="32" t="s">
        <v>22</v>
      </c>
      <c r="W64" s="32" t="s">
        <v>22</v>
      </c>
    </row>
    <row r="65" spans="1:27" ht="30" x14ac:dyDescent="0.25">
      <c r="A65" s="124" t="s">
        <v>116</v>
      </c>
      <c r="B65" s="125"/>
      <c r="C65" s="125"/>
      <c r="D65" s="125"/>
      <c r="E65" s="1" t="s">
        <v>117</v>
      </c>
      <c r="F65" s="14">
        <v>46</v>
      </c>
      <c r="G65" s="11">
        <v>240</v>
      </c>
      <c r="H65" s="11">
        <f>SUMIF(Recipes!B:B,A65,Recipes!G:G)</f>
        <v>47</v>
      </c>
      <c r="I65" s="24">
        <f t="shared" si="7"/>
        <v>2162</v>
      </c>
      <c r="J65" s="24">
        <f t="shared" si="8"/>
        <v>2.1619999999999999</v>
      </c>
      <c r="K65" s="178"/>
      <c r="L65" s="74" t="str">
        <f t="shared" si="9"/>
        <v>47 Package of 3 cups</v>
      </c>
      <c r="M65" s="74">
        <v>50</v>
      </c>
      <c r="N65" s="74" t="str">
        <f t="shared" si="3"/>
        <v>-3 x Package of 3 cups</v>
      </c>
      <c r="O65" s="75" t="str">
        <f>IFERROR(VLOOKUP(CONCATENATE(A65,"-","Y"),'Price Comparison'!$C$2:$E$101,3,FALSE),"TBC")</f>
        <v>TBC</v>
      </c>
      <c r="P65" s="81"/>
      <c r="Q65" s="32" t="s">
        <v>22</v>
      </c>
      <c r="R65" s="32" t="s">
        <v>22</v>
      </c>
      <c r="S65" s="32" t="s">
        <v>22</v>
      </c>
      <c r="T65" s="32" t="s">
        <v>22</v>
      </c>
      <c r="U65" s="32" t="s">
        <v>22</v>
      </c>
      <c r="V65" s="32" t="s">
        <v>22</v>
      </c>
      <c r="W65" s="32" t="s">
        <v>22</v>
      </c>
      <c r="X65" s="165" t="s">
        <v>27</v>
      </c>
      <c r="Y65">
        <v>60</v>
      </c>
      <c r="Z65">
        <v>0.2</v>
      </c>
      <c r="AA65">
        <f>Y65*Z65</f>
        <v>12</v>
      </c>
    </row>
    <row r="66" spans="1:27" x14ac:dyDescent="0.25">
      <c r="A66" s="124" t="s">
        <v>118</v>
      </c>
      <c r="B66" s="125"/>
      <c r="C66" s="125"/>
      <c r="D66" s="125"/>
      <c r="E66" s="1" t="s">
        <v>63</v>
      </c>
      <c r="F66" s="14">
        <v>57</v>
      </c>
      <c r="G66" s="11">
        <v>263</v>
      </c>
      <c r="H66" s="11">
        <f>SUMIF(Recipes!B:B,A66,Recipes!G:G)</f>
        <v>42.77</v>
      </c>
      <c r="I66" s="24">
        <f t="shared" ref="I66" si="10">H66*F66</f>
        <v>2437.8900000000003</v>
      </c>
      <c r="J66" s="24">
        <f t="shared" ref="J66" si="11">I66/1000</f>
        <v>2.4378900000000003</v>
      </c>
      <c r="K66" s="178"/>
      <c r="L66" s="74" t="str">
        <f t="shared" ref="L66" si="12">IF(K66="g",CONCATENATE(I66," g"),IF(K66="kg",CONCATENATE(J66," kg"),CONCATENATE(H66," ",E66)))</f>
        <v>42.77 bar</v>
      </c>
      <c r="M66" s="74">
        <v>50</v>
      </c>
      <c r="N66" s="74" t="str">
        <f t="shared" ref="N66" si="13">IF(K66="g",CONCATENATE(ROUND(I66-M66,2)," g"),IF(K66="kg",CONCATENATE(ROUND(J66-M66,2)," kg"),CONCATENATE(ROUND(H66-M66,1)," x ",E66)))</f>
        <v>-7.2 x bar</v>
      </c>
      <c r="O66" s="75" t="str">
        <f>IFERROR(VLOOKUP(CONCATENATE(A66,"-","Y"),'Price Comparison'!$C$2:$E$101,3,FALSE),"TBC")</f>
        <v>TBC</v>
      </c>
      <c r="P66" s="81"/>
      <c r="Q66" s="32" t="s">
        <v>22</v>
      </c>
      <c r="R66" s="32" t="s">
        <v>22</v>
      </c>
      <c r="S66" s="32" t="s">
        <v>22</v>
      </c>
      <c r="T66" s="32" t="s">
        <v>22</v>
      </c>
      <c r="U66" s="32" t="s">
        <v>22</v>
      </c>
      <c r="V66" s="32" t="s">
        <v>22</v>
      </c>
      <c r="W66" s="32" t="s">
        <v>22</v>
      </c>
      <c r="X66" s="165"/>
    </row>
    <row r="67" spans="1:27" x14ac:dyDescent="0.25">
      <c r="A67" s="124" t="s">
        <v>119</v>
      </c>
      <c r="B67" s="125"/>
      <c r="C67" s="125"/>
      <c r="D67" s="125"/>
      <c r="E67" s="1" t="s">
        <v>63</v>
      </c>
      <c r="F67" s="14">
        <v>43</v>
      </c>
      <c r="G67" s="11">
        <v>220</v>
      </c>
      <c r="H67" s="11">
        <f>SUMIF(Recipes!B:B,A67,Recipes!G:G)</f>
        <v>33.839999999999996</v>
      </c>
      <c r="I67" s="24">
        <f t="shared" ref="I67" si="14">H67*F67</f>
        <v>1455.12</v>
      </c>
      <c r="J67" s="24">
        <f t="shared" ref="J67" si="15">I67/1000</f>
        <v>1.45512</v>
      </c>
      <c r="K67" s="178"/>
      <c r="L67" s="74" t="str">
        <f t="shared" ref="L67" si="16">IF(K67="g",CONCATENATE(I67," g"),IF(K67="kg",CONCATENATE(J67," kg"),CONCATENATE(H67," ",E67)))</f>
        <v>33.84 bar</v>
      </c>
      <c r="M67" s="74">
        <v>40</v>
      </c>
      <c r="N67" s="74" t="str">
        <f t="shared" ref="N67" si="17">IF(K67="g",CONCATENATE(ROUND(I67-M67,2)," g"),IF(K67="kg",CONCATENATE(ROUND(J67-M67,2)," kg"),CONCATENATE(ROUND(H67-M67,1)," x ",E67)))</f>
        <v>-6.2 x bar</v>
      </c>
      <c r="O67" s="75" t="str">
        <f>IFERROR(VLOOKUP(CONCATENATE(A67,"-","Y"),'Price Comparison'!$C$2:$E$101,3,FALSE),"TBC")</f>
        <v>TBC</v>
      </c>
      <c r="P67" s="81"/>
      <c r="Q67" s="32" t="s">
        <v>22</v>
      </c>
      <c r="R67" s="32" t="s">
        <v>22</v>
      </c>
      <c r="S67" s="32" t="s">
        <v>22</v>
      </c>
      <c r="T67" s="32" t="s">
        <v>22</v>
      </c>
      <c r="U67" s="32" t="s">
        <v>22</v>
      </c>
      <c r="V67" s="32" t="s">
        <v>22</v>
      </c>
      <c r="W67" s="32" t="s">
        <v>22</v>
      </c>
      <c r="X67" s="165"/>
    </row>
    <row r="68" spans="1:27" x14ac:dyDescent="0.25">
      <c r="A68" s="124"/>
      <c r="B68" s="125"/>
      <c r="C68" s="125"/>
      <c r="D68" s="125"/>
      <c r="E68" s="1"/>
      <c r="F68" s="14"/>
      <c r="G68" s="11"/>
      <c r="H68" s="11">
        <f>SUMIF(Recipes!B:B,A68,Recipes!G:G)</f>
        <v>0</v>
      </c>
      <c r="I68" s="24">
        <f t="shared" si="7"/>
        <v>0</v>
      </c>
      <c r="J68" s="24">
        <f t="shared" si="8"/>
        <v>0</v>
      </c>
      <c r="K68" s="178"/>
      <c r="L68" s="74" t="str">
        <f t="shared" si="9"/>
        <v xml:space="preserve">0 </v>
      </c>
      <c r="M68" s="74">
        <v>0</v>
      </c>
      <c r="N68" s="74" t="str">
        <f t="shared" si="3"/>
        <v xml:space="preserve">0 x </v>
      </c>
      <c r="O68" s="75" t="str">
        <f>IFERROR(VLOOKUP(CONCATENATE(A68,"-","Y"),'Price Comparison'!$C$2:$E$101,3,FALSE),"TBC")</f>
        <v>TBC</v>
      </c>
      <c r="P68" s="81"/>
      <c r="Q68" s="32"/>
      <c r="R68" s="32"/>
      <c r="S68" s="32"/>
      <c r="T68" s="32"/>
      <c r="U68" s="32"/>
      <c r="V68" s="32"/>
      <c r="W68" s="32"/>
    </row>
    <row r="69" spans="1:27" x14ac:dyDescent="0.25">
      <c r="A69" s="166" t="s">
        <v>120</v>
      </c>
      <c r="B69" s="167"/>
      <c r="C69" s="167"/>
      <c r="D69" s="167"/>
      <c r="E69" s="168"/>
      <c r="F69" s="169"/>
      <c r="G69" s="170"/>
      <c r="H69" s="170"/>
      <c r="I69" s="171"/>
      <c r="J69" s="171"/>
      <c r="K69" s="172"/>
      <c r="L69" s="173"/>
      <c r="M69" s="173"/>
      <c r="N69" s="173"/>
      <c r="O69" s="174"/>
      <c r="P69" s="175"/>
      <c r="Q69" s="177"/>
      <c r="R69" s="177"/>
      <c r="S69" s="177"/>
      <c r="T69" s="177"/>
      <c r="U69" s="177"/>
      <c r="V69" s="177"/>
      <c r="W69" s="177"/>
    </row>
    <row r="70" spans="1:27" x14ac:dyDescent="0.25">
      <c r="A70" s="124" t="s">
        <v>121</v>
      </c>
      <c r="B70" s="125"/>
      <c r="C70" s="125"/>
      <c r="D70" s="125"/>
      <c r="E70" s="1" t="s">
        <v>122</v>
      </c>
      <c r="F70" s="14"/>
      <c r="G70" s="11"/>
      <c r="H70" s="11">
        <v>6</v>
      </c>
      <c r="I70" s="24">
        <f t="shared" si="7"/>
        <v>0</v>
      </c>
      <c r="J70" s="24">
        <f t="shared" si="8"/>
        <v>0</v>
      </c>
      <c r="K70" s="178"/>
      <c r="L70" s="74" t="str">
        <f t="shared" si="9"/>
        <v>6 bottle</v>
      </c>
      <c r="M70" s="74">
        <v>6</v>
      </c>
      <c r="N70" s="74" t="str">
        <f t="shared" ref="N70:N72" si="18">IF(K70="g",CONCATENATE(ROUND(I70-M70,2)," g"),IF(K70="kg",CONCATENATE(ROUND(J70-M70,2)," kg"),CONCATENATE(ROUND(H70-M70,1)," x ",E70)))</f>
        <v>0 x bottle</v>
      </c>
      <c r="O70" s="75" t="str">
        <f>IFERROR(VLOOKUP(CONCATENATE(A70,"-","Y"),'Price Comparison'!$C$2:$E$101,3,FALSE),"TBC")</f>
        <v>TBC</v>
      </c>
      <c r="P70" s="81"/>
      <c r="Q70" s="32"/>
      <c r="R70" s="32"/>
      <c r="S70" s="32"/>
      <c r="T70" s="32"/>
      <c r="U70" s="32"/>
      <c r="V70" s="32"/>
      <c r="W70" s="32"/>
    </row>
    <row r="71" spans="1:27" x14ac:dyDescent="0.25">
      <c r="A71" s="124" t="s">
        <v>123</v>
      </c>
      <c r="B71" s="125"/>
      <c r="C71" s="125"/>
      <c r="D71" s="125"/>
      <c r="E71" s="1" t="s">
        <v>124</v>
      </c>
      <c r="F71" s="14"/>
      <c r="G71" s="11"/>
      <c r="H71" s="11">
        <v>2</v>
      </c>
      <c r="I71" s="24">
        <f t="shared" ref="I71:I72" si="19">H71*F71</f>
        <v>0</v>
      </c>
      <c r="J71" s="24">
        <f t="shared" ref="J71:J72" si="20">I71/1000</f>
        <v>0</v>
      </c>
      <c r="K71" s="178"/>
      <c r="L71" s="74" t="str">
        <f t="shared" ref="L71:L72" si="21">IF(K71="g",CONCATENATE(I71," g"),IF(K71="kg",CONCATENATE(J71," kg"),CONCATENATE(H71," ",E71)))</f>
        <v>2 stick</v>
      </c>
      <c r="M71" s="74">
        <v>2</v>
      </c>
      <c r="N71" s="74" t="str">
        <f t="shared" si="18"/>
        <v>0 x stick</v>
      </c>
      <c r="O71" s="75" t="str">
        <f>IFERROR(VLOOKUP(CONCATENATE(A71,"-","Y"),'Price Comparison'!$C$2:$E$101,3,FALSE),"TBC")</f>
        <v>TBC</v>
      </c>
      <c r="P71" s="81"/>
      <c r="Q71" s="32"/>
      <c r="R71" s="32"/>
      <c r="S71" s="32"/>
      <c r="T71" s="32"/>
      <c r="U71" s="32"/>
      <c r="V71" s="32"/>
      <c r="W71" s="32"/>
    </row>
    <row r="72" spans="1:27" x14ac:dyDescent="0.25">
      <c r="A72" s="124" t="s">
        <v>125</v>
      </c>
      <c r="B72" s="125"/>
      <c r="C72" s="125"/>
      <c r="D72" s="125"/>
      <c r="E72" s="1" t="s">
        <v>126</v>
      </c>
      <c r="F72" s="14"/>
      <c r="G72" s="11"/>
      <c r="H72" s="11">
        <v>220</v>
      </c>
      <c r="I72" s="24">
        <f t="shared" si="19"/>
        <v>0</v>
      </c>
      <c r="J72" s="24">
        <f t="shared" si="20"/>
        <v>0</v>
      </c>
      <c r="K72" s="178"/>
      <c r="L72" s="74" t="str">
        <f t="shared" si="21"/>
        <v>220 wipe</v>
      </c>
      <c r="M72" s="74">
        <v>220</v>
      </c>
      <c r="N72" s="74" t="str">
        <f t="shared" si="18"/>
        <v>0 x wipe</v>
      </c>
      <c r="O72" s="75" t="str">
        <f>IFERROR(VLOOKUP(CONCATENATE(A72,"-","Y"),'Price Comparison'!$C$2:$E$101,3,FALSE),"TBC")</f>
        <v>TBC</v>
      </c>
      <c r="P72" s="81"/>
      <c r="Q72" s="32"/>
      <c r="R72" s="32"/>
      <c r="S72" s="32"/>
      <c r="T72" s="32"/>
      <c r="U72" s="32"/>
      <c r="V72" s="32"/>
      <c r="W72" s="32"/>
    </row>
    <row r="73" spans="1:27" x14ac:dyDescent="0.25">
      <c r="A73" s="124" t="s">
        <v>127</v>
      </c>
      <c r="B73" s="125"/>
      <c r="C73" s="125"/>
      <c r="D73" s="125"/>
      <c r="E73" s="1" t="s">
        <v>122</v>
      </c>
      <c r="F73" s="14"/>
      <c r="G73" s="11"/>
      <c r="H73" s="11">
        <f>SUMIF(Recipes!B:B,A73,Recipes!G:G)</f>
        <v>0</v>
      </c>
      <c r="I73" s="24">
        <f t="shared" ref="I73:I74" si="22">H73*F73</f>
        <v>0</v>
      </c>
      <c r="J73" s="24">
        <f t="shared" ref="J73:J74" si="23">I73/1000</f>
        <v>0</v>
      </c>
      <c r="K73" s="178"/>
      <c r="L73" s="74" t="str">
        <f t="shared" ref="L73:L74" si="24">IF(K73="g",CONCATENATE(I73," g"),IF(K73="kg",CONCATENATE(J73," kg"),CONCATENATE(H73," ",E73)))</f>
        <v>0 bottle</v>
      </c>
      <c r="M73" s="74">
        <v>0</v>
      </c>
      <c r="N73" s="74" t="str">
        <f t="shared" ref="N73:N74" si="25">IF(K73="g",CONCATENATE(ROUND(I73-M73,2)," g"),IF(K73="kg",CONCATENATE(ROUND(J73-M73,2)," kg"),CONCATENATE(ROUND(H73-M73,1)," x ",E73)))</f>
        <v>0 x bottle</v>
      </c>
      <c r="O73" s="75" t="str">
        <f>IFERROR(VLOOKUP(CONCATENATE(A73,"-","Y"),'Price Comparison'!$C$2:$E$101,3,FALSE),"TBC")</f>
        <v>TBC</v>
      </c>
      <c r="P73" s="81"/>
      <c r="Q73" s="32"/>
      <c r="R73" s="32"/>
      <c r="S73" s="32"/>
      <c r="T73" s="32"/>
      <c r="U73" s="32"/>
      <c r="V73" s="32"/>
      <c r="W73" s="32"/>
    </row>
    <row r="74" spans="1:27" x14ac:dyDescent="0.25">
      <c r="A74" s="124" t="s">
        <v>128</v>
      </c>
      <c r="B74" s="125"/>
      <c r="C74" s="125"/>
      <c r="D74" s="125"/>
      <c r="E74" s="1" t="s">
        <v>122</v>
      </c>
      <c r="F74" s="14"/>
      <c r="G74" s="11"/>
      <c r="H74" s="11">
        <f>7*2</f>
        <v>14</v>
      </c>
      <c r="I74" s="24">
        <f t="shared" si="22"/>
        <v>0</v>
      </c>
      <c r="J74" s="24">
        <f t="shared" si="23"/>
        <v>0</v>
      </c>
      <c r="K74" s="178"/>
      <c r="L74" s="74" t="str">
        <f t="shared" si="24"/>
        <v>14 bottle</v>
      </c>
      <c r="M74" s="74">
        <v>14</v>
      </c>
      <c r="N74" s="74" t="str">
        <f t="shared" si="25"/>
        <v>0 x bottle</v>
      </c>
      <c r="O74" s="75" t="str">
        <f>IFERROR(VLOOKUP(CONCATENATE(A74,"-","Y"),'Price Comparison'!$C$2:$E$101,3,FALSE),"TBC")</f>
        <v>TBC</v>
      </c>
      <c r="P74" s="81"/>
      <c r="Q74" s="32"/>
      <c r="R74" s="32"/>
      <c r="S74" s="32"/>
      <c r="T74" s="32"/>
      <c r="U74" s="32"/>
      <c r="V74" s="32"/>
      <c r="W74" s="32"/>
    </row>
    <row r="75" spans="1:27" x14ac:dyDescent="0.25">
      <c r="A75" s="124"/>
      <c r="B75" s="125"/>
      <c r="C75" s="125"/>
      <c r="D75" s="125"/>
      <c r="E75" s="1"/>
      <c r="F75" s="14"/>
      <c r="G75" s="11"/>
      <c r="H75" s="11">
        <f>SUMIF(Recipes!B:B,A75,Recipes!G:G)</f>
        <v>0</v>
      </c>
      <c r="I75" s="24">
        <f t="shared" si="7"/>
        <v>0</v>
      </c>
      <c r="J75" s="24">
        <f t="shared" si="8"/>
        <v>0</v>
      </c>
      <c r="K75" s="178"/>
      <c r="L75" s="74" t="str">
        <f t="shared" si="9"/>
        <v xml:space="preserve">0 </v>
      </c>
      <c r="M75" s="74">
        <v>0</v>
      </c>
      <c r="N75" s="74" t="str">
        <f t="shared" ref="N75" si="26">IF(K75="g",CONCATENATE(ROUND(I75-M75,2)," g"),IF(K75="kg",CONCATENATE(ROUND(J75-M75,2)," kg"),CONCATENATE(ROUND(H75-M75,1)," x ",E75)))</f>
        <v xml:space="preserve">0 x </v>
      </c>
      <c r="O75" s="75" t="str">
        <f>IFERROR(VLOOKUP(CONCATENATE(A75,"-","Y"),'Price Comparison'!$C$2:$E$101,3,FALSE),"TBC")</f>
        <v>TBC</v>
      </c>
      <c r="P75" s="81"/>
      <c r="Q75" s="32"/>
      <c r="R75" s="32"/>
      <c r="S75" s="32"/>
      <c r="T75" s="32"/>
      <c r="U75" s="32"/>
      <c r="V75" s="32"/>
      <c r="W75" s="32"/>
    </row>
    <row r="76" spans="1:27" x14ac:dyDescent="0.25">
      <c r="A76" s="124"/>
      <c r="B76" s="125"/>
      <c r="C76" s="125"/>
      <c r="D76" s="125"/>
      <c r="E76" s="1"/>
      <c r="F76" s="14"/>
      <c r="G76" s="11"/>
      <c r="H76" s="11">
        <f>SUMIF(Recipes!B:B,A76,Recipes!G:G)</f>
        <v>0</v>
      </c>
      <c r="I76" s="24">
        <f t="shared" si="0"/>
        <v>0</v>
      </c>
      <c r="J76" s="24">
        <f t="shared" si="1"/>
        <v>0</v>
      </c>
      <c r="K76" s="178"/>
      <c r="L76" s="74" t="str">
        <f t="shared" si="2"/>
        <v xml:space="preserve">0 </v>
      </c>
      <c r="M76" s="74">
        <v>0</v>
      </c>
      <c r="N76" s="74" t="str">
        <f t="shared" ref="N76:N77" si="27">IF(K76="g",CONCATENATE(ROUND(I76-M76,2)," g"),IF(K76="kg",CONCATENATE(ROUND(J76-M76,2)," kg"),CONCATENATE(ROUND(H76-M76,1)," x ",E76)))</f>
        <v xml:space="preserve">0 x </v>
      </c>
      <c r="O76" s="75" t="str">
        <f>IFERROR(VLOOKUP(CONCATENATE(A76,"-","Y"),'Price Comparison'!$C$2:$E$101,3,FALSE),"TBC")</f>
        <v>TBC</v>
      </c>
      <c r="P76" s="81"/>
      <c r="Q76" s="32"/>
      <c r="R76" s="32"/>
      <c r="S76" s="32"/>
      <c r="T76" s="32"/>
      <c r="U76" s="32"/>
      <c r="V76" s="32"/>
      <c r="W76" s="32"/>
    </row>
    <row r="77" spans="1:27" ht="15.75" thickBot="1" x14ac:dyDescent="0.3">
      <c r="A77" s="130"/>
      <c r="B77" s="131"/>
      <c r="C77" s="131"/>
      <c r="D77" s="131"/>
      <c r="E77" s="132"/>
      <c r="F77" s="133"/>
      <c r="G77" s="82"/>
      <c r="H77" s="82">
        <f>SUMIF(Recipes!B:B,A77,Recipes!G:G)</f>
        <v>0</v>
      </c>
      <c r="I77" s="83">
        <f t="shared" si="0"/>
        <v>0</v>
      </c>
      <c r="J77" s="83">
        <f t="shared" si="1"/>
        <v>0</v>
      </c>
      <c r="K77" s="84"/>
      <c r="L77" s="85" t="str">
        <f t="shared" si="2"/>
        <v xml:space="preserve">0 </v>
      </c>
      <c r="M77" s="85">
        <v>0</v>
      </c>
      <c r="N77" s="85" t="str">
        <f t="shared" si="27"/>
        <v xml:space="preserve">0 x </v>
      </c>
      <c r="O77" s="86" t="str">
        <f>IFERROR(VLOOKUP(CONCATENATE(A77,"-","Y"),'Price Comparison'!$C$2:$E$101,3,FALSE),"TBC")</f>
        <v>TBC</v>
      </c>
      <c r="P77" s="87"/>
      <c r="Q77" s="32"/>
      <c r="R77" s="32"/>
      <c r="S77" s="32"/>
      <c r="T77" s="32"/>
      <c r="U77" s="32"/>
      <c r="V77" s="32"/>
      <c r="W77" s="32"/>
    </row>
    <row r="78" spans="1:27" ht="15.75" thickTop="1" x14ac:dyDescent="0.25">
      <c r="B78" s="47"/>
      <c r="C78" s="47"/>
      <c r="D78" s="47"/>
      <c r="H78" s="32"/>
      <c r="I78" s="32"/>
      <c r="J78" s="32"/>
      <c r="K78" s="32"/>
      <c r="L78" s="72"/>
      <c r="M78" s="72"/>
      <c r="N78" s="72"/>
      <c r="O78" s="32"/>
      <c r="P78" s="32"/>
      <c r="Q78" s="32"/>
      <c r="R78" s="32"/>
      <c r="S78" s="32"/>
      <c r="T78" s="32"/>
      <c r="U78" s="32"/>
      <c r="V78" s="32"/>
      <c r="W78" s="32"/>
    </row>
    <row r="79" spans="1:27" x14ac:dyDescent="0.25">
      <c r="B79" s="47"/>
      <c r="C79" s="47"/>
      <c r="D79" s="47"/>
      <c r="H79" s="47"/>
    </row>
    <row r="80" spans="1:27" x14ac:dyDescent="0.25">
      <c r="B80" s="47"/>
      <c r="C80" s="47"/>
      <c r="D80" s="47"/>
    </row>
    <row r="81" spans="2:8" x14ac:dyDescent="0.25">
      <c r="B81" s="47"/>
      <c r="C81" s="47"/>
      <c r="D81" s="47"/>
    </row>
    <row r="82" spans="2:8" x14ac:dyDescent="0.25">
      <c r="B82" s="47"/>
      <c r="C82" s="47"/>
      <c r="D82" s="47"/>
    </row>
    <row r="83" spans="2:8" x14ac:dyDescent="0.25">
      <c r="B83" s="47"/>
      <c r="C83" s="47"/>
      <c r="D83" s="47"/>
    </row>
    <row r="84" spans="2:8" x14ac:dyDescent="0.25">
      <c r="B84" s="47"/>
      <c r="C84" s="47"/>
      <c r="D84" s="47"/>
      <c r="H84">
        <f>SUM(H67,H66,H65,H64,H62,H56,H55,H54,H49,H29)</f>
        <v>608.61</v>
      </c>
    </row>
    <row r="85" spans="2:8" x14ac:dyDescent="0.25">
      <c r="B85" s="47"/>
      <c r="C85" s="47"/>
      <c r="D85" s="47"/>
    </row>
    <row r="86" spans="2:8" x14ac:dyDescent="0.25">
      <c r="B86" s="47"/>
      <c r="C86" s="47"/>
      <c r="D86" s="47"/>
    </row>
    <row r="87" spans="2:8" x14ac:dyDescent="0.25">
      <c r="B87" s="47"/>
      <c r="C87" s="47"/>
      <c r="D87" s="47"/>
    </row>
    <row r="88" spans="2:8" x14ac:dyDescent="0.25">
      <c r="B88" s="47"/>
      <c r="C88" s="47"/>
      <c r="D88" s="47"/>
    </row>
    <row r="89" spans="2:8" x14ac:dyDescent="0.25">
      <c r="B89" s="47"/>
      <c r="C89" s="47"/>
      <c r="D89" s="47"/>
    </row>
    <row r="117" ht="14.45" customHeight="1" x14ac:dyDescent="0.25"/>
    <row r="118" ht="14.45" customHeight="1" x14ac:dyDescent="0.25"/>
  </sheetData>
  <autoFilter ref="A1:P77" xr:uid="{00000000-0009-0000-0000-000001000000}"/>
  <conditionalFormatting sqref="G1:G46 G106:G1048576 G76:G102">
    <cfRule type="containsBlanks" dxfId="37" priority="35">
      <formula>LEN(TRIM(G1))=0</formula>
    </cfRule>
  </conditionalFormatting>
  <conditionalFormatting sqref="G103:G105">
    <cfRule type="containsBlanks" dxfId="36" priority="34">
      <formula>LEN(TRIM(G103))=0</formula>
    </cfRule>
  </conditionalFormatting>
  <conditionalFormatting sqref="J1">
    <cfRule type="containsBlanks" dxfId="35" priority="33">
      <formula>LEN(TRIM(J1))=0</formula>
    </cfRule>
  </conditionalFormatting>
  <conditionalFormatting sqref="L1">
    <cfRule type="containsBlanks" dxfId="34" priority="32">
      <formula>LEN(TRIM(L1))=0</formula>
    </cfRule>
  </conditionalFormatting>
  <conditionalFormatting sqref="O1">
    <cfRule type="containsBlanks" dxfId="33" priority="31">
      <formula>LEN(TRIM(O1))=0</formula>
    </cfRule>
  </conditionalFormatting>
  <conditionalFormatting sqref="P1:W1">
    <cfRule type="containsBlanks" dxfId="32" priority="30">
      <formula>LEN(TRIM(P1))=0</formula>
    </cfRule>
  </conditionalFormatting>
  <conditionalFormatting sqref="L1">
    <cfRule type="containsBlanks" dxfId="31" priority="29">
      <formula>LEN(TRIM(L1))=0</formula>
    </cfRule>
  </conditionalFormatting>
  <conditionalFormatting sqref="O1">
    <cfRule type="containsBlanks" dxfId="30" priority="28">
      <formula>LEN(TRIM(O1))=0</formula>
    </cfRule>
  </conditionalFormatting>
  <conditionalFormatting sqref="P1:W1">
    <cfRule type="containsBlanks" dxfId="29" priority="27">
      <formula>LEN(TRIM(P1))=0</formula>
    </cfRule>
  </conditionalFormatting>
  <conditionalFormatting sqref="O1">
    <cfRule type="containsBlanks" dxfId="28" priority="26">
      <formula>LEN(TRIM(O1))=0</formula>
    </cfRule>
  </conditionalFormatting>
  <conditionalFormatting sqref="G47:G50">
    <cfRule type="containsBlanks" dxfId="27" priority="25">
      <formula>LEN(TRIM(G47))=0</formula>
    </cfRule>
  </conditionalFormatting>
  <conditionalFormatting sqref="M1">
    <cfRule type="containsBlanks" dxfId="26" priority="24">
      <formula>LEN(TRIM(M1))=0</formula>
    </cfRule>
  </conditionalFormatting>
  <conditionalFormatting sqref="M1">
    <cfRule type="containsBlanks" dxfId="25" priority="23">
      <formula>LEN(TRIM(M1))=0</formula>
    </cfRule>
  </conditionalFormatting>
  <conditionalFormatting sqref="M1">
    <cfRule type="containsBlanks" dxfId="24" priority="22">
      <formula>LEN(TRIM(M1))=0</formula>
    </cfRule>
  </conditionalFormatting>
  <conditionalFormatting sqref="N1">
    <cfRule type="containsBlanks" dxfId="23" priority="21">
      <formula>LEN(TRIM(N1))=0</formula>
    </cfRule>
  </conditionalFormatting>
  <conditionalFormatting sqref="N1">
    <cfRule type="containsBlanks" dxfId="22" priority="20">
      <formula>LEN(TRIM(N1))=0</formula>
    </cfRule>
  </conditionalFormatting>
  <conditionalFormatting sqref="N1">
    <cfRule type="containsBlanks" dxfId="21" priority="19">
      <formula>LEN(TRIM(N1))=0</formula>
    </cfRule>
  </conditionalFormatting>
  <conditionalFormatting sqref="G51:G61">
    <cfRule type="containsBlanks" dxfId="20" priority="18">
      <formula>LEN(TRIM(G51))=0</formula>
    </cfRule>
  </conditionalFormatting>
  <conditionalFormatting sqref="G62:G68">
    <cfRule type="containsBlanks" dxfId="19" priority="17">
      <formula>LEN(TRIM(G62))=0</formula>
    </cfRule>
  </conditionalFormatting>
  <conditionalFormatting sqref="G75">
    <cfRule type="containsBlanks" dxfId="18" priority="14">
      <formula>LEN(TRIM(G75))=0</formula>
    </cfRule>
  </conditionalFormatting>
  <conditionalFormatting sqref="G74">
    <cfRule type="containsBlanks" dxfId="17" priority="12">
      <formula>LEN(TRIM(G74))=0</formula>
    </cfRule>
  </conditionalFormatting>
  <conditionalFormatting sqref="G73">
    <cfRule type="containsBlanks" dxfId="16" priority="10">
      <formula>LEN(TRIM(G73))=0</formula>
    </cfRule>
  </conditionalFormatting>
  <conditionalFormatting sqref="G72">
    <cfRule type="containsBlanks" dxfId="15" priority="8">
      <formula>LEN(TRIM(G72))=0</formula>
    </cfRule>
  </conditionalFormatting>
  <conditionalFormatting sqref="G71">
    <cfRule type="containsBlanks" dxfId="14" priority="6">
      <formula>LEN(TRIM(G71))=0</formula>
    </cfRule>
  </conditionalFormatting>
  <conditionalFormatting sqref="G70">
    <cfRule type="containsBlanks" dxfId="13" priority="4">
      <formula>LEN(TRIM(G70))=0</formula>
    </cfRule>
  </conditionalFormatting>
  <conditionalFormatting sqref="G69">
    <cfRule type="containsBlanks" dxfId="12" priority="2">
      <formula>LEN(TRIM(G69))=0</formula>
    </cfRule>
  </conditionalFormatting>
  <pageMargins left="0.7" right="0.7" top="0.75" bottom="0.75" header="0.3" footer="0.3"/>
  <legacy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5" operator="containsText" id="{6A3D0032-6E9D-400B-BE1D-65EF92D5C37F}">
            <xm:f>NOT(ISERROR(SEARCH("-",N2)))</xm:f>
            <xm:f>"-"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m:sqref>N76:N77 N2:N68</xm:sqref>
        </x14:conditionalFormatting>
        <x14:conditionalFormatting xmlns:xm="http://schemas.microsoft.com/office/excel/2006/main">
          <x14:cfRule type="containsText" priority="13" operator="containsText" id="{7E0AE892-2AD0-4D0F-AF78-5BCF898BAB5C}">
            <xm:f>NOT(ISERROR(SEARCH("-",N75)))</xm:f>
            <xm:f>"-"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m:sqref>N75</xm:sqref>
        </x14:conditionalFormatting>
        <x14:conditionalFormatting xmlns:xm="http://schemas.microsoft.com/office/excel/2006/main">
          <x14:cfRule type="containsText" priority="11" operator="containsText" id="{008DB224-3760-49A3-AA60-1EB26779EED1}">
            <xm:f>NOT(ISERROR(SEARCH("-",N74)))</xm:f>
            <xm:f>"-"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m:sqref>N74</xm:sqref>
        </x14:conditionalFormatting>
        <x14:conditionalFormatting xmlns:xm="http://schemas.microsoft.com/office/excel/2006/main">
          <x14:cfRule type="containsText" priority="9" operator="containsText" id="{6C021E09-74AD-4602-96C6-717136EBB590}">
            <xm:f>NOT(ISERROR(SEARCH("-",N73)))</xm:f>
            <xm:f>"-"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m:sqref>N73</xm:sqref>
        </x14:conditionalFormatting>
        <x14:conditionalFormatting xmlns:xm="http://schemas.microsoft.com/office/excel/2006/main">
          <x14:cfRule type="containsText" priority="7" operator="containsText" id="{3C3BFBCA-6755-494D-84CB-B39A5AEB30D9}">
            <xm:f>NOT(ISERROR(SEARCH("-",N72)))</xm:f>
            <xm:f>"-"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m:sqref>N72</xm:sqref>
        </x14:conditionalFormatting>
        <x14:conditionalFormatting xmlns:xm="http://schemas.microsoft.com/office/excel/2006/main">
          <x14:cfRule type="containsText" priority="5" operator="containsText" id="{DC9A0D35-6A3B-44CA-82A9-B1AACA15AA39}">
            <xm:f>NOT(ISERROR(SEARCH("-",N71)))</xm:f>
            <xm:f>"-"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m:sqref>N71</xm:sqref>
        </x14:conditionalFormatting>
        <x14:conditionalFormatting xmlns:xm="http://schemas.microsoft.com/office/excel/2006/main">
          <x14:cfRule type="containsText" priority="3" operator="containsText" id="{68E29DAF-C189-4503-9811-E72309B79FD7}">
            <xm:f>NOT(ISERROR(SEARCH("-",N70)))</xm:f>
            <xm:f>"-"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m:sqref>N70</xm:sqref>
        </x14:conditionalFormatting>
        <x14:conditionalFormatting xmlns:xm="http://schemas.microsoft.com/office/excel/2006/main">
          <x14:cfRule type="containsText" priority="1" operator="containsText" id="{726218C6-FAFC-4EB8-8FD2-7CD634B995D4}">
            <xm:f>NOT(ISERROR(SEARCH("-",N69)))</xm:f>
            <xm:f>"-"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m:sqref>N69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K146"/>
  <sheetViews>
    <sheetView workbookViewId="0">
      <pane ySplit="1" topLeftCell="A2" activePane="bottomLeft" state="frozen"/>
      <selection pane="bottomLeft" activeCell="B114" sqref="B114"/>
    </sheetView>
  </sheetViews>
  <sheetFormatPr defaultRowHeight="15" x14ac:dyDescent="0.25"/>
  <cols>
    <col min="1" max="1" width="2.7109375" customWidth="1"/>
    <col min="2" max="2" width="47.140625" customWidth="1"/>
    <col min="3" max="3" width="9.42578125" customWidth="1"/>
    <col min="4" max="5" width="16" customWidth="1"/>
    <col min="7" max="7" width="12.5703125" customWidth="1"/>
    <col min="8" max="8" width="15.140625" customWidth="1"/>
    <col min="9" max="9" width="15.85546875" customWidth="1"/>
    <col min="10" max="10" width="66.5703125" style="47" customWidth="1"/>
    <col min="11" max="11" width="33.28515625" customWidth="1"/>
  </cols>
  <sheetData>
    <row r="1" spans="1:11" ht="15.75" thickBot="1" x14ac:dyDescent="0.3">
      <c r="A1" s="65" t="s">
        <v>0</v>
      </c>
      <c r="B1" s="71"/>
      <c r="C1" s="26" t="s">
        <v>129</v>
      </c>
      <c r="D1" s="26" t="s">
        <v>130</v>
      </c>
      <c r="E1" s="26" t="s">
        <v>131</v>
      </c>
      <c r="F1" s="26" t="s">
        <v>132</v>
      </c>
      <c r="G1" s="29" t="s">
        <v>133</v>
      </c>
      <c r="I1" s="32"/>
      <c r="J1" s="66" t="s">
        <v>134</v>
      </c>
      <c r="K1" s="66" t="s">
        <v>135</v>
      </c>
    </row>
    <row r="2" spans="1:11" s="3" customFormat="1" x14ac:dyDescent="0.25">
      <c r="A2" s="67" t="s">
        <v>136</v>
      </c>
      <c r="B2" s="68"/>
      <c r="C2" s="28">
        <v>1</v>
      </c>
      <c r="D2" s="28" t="s">
        <v>137</v>
      </c>
      <c r="E2" s="28">
        <f>SUM(E3:E9)</f>
        <v>241</v>
      </c>
      <c r="F2" s="28">
        <f>SUM(F3:F9)</f>
        <v>810</v>
      </c>
      <c r="G2" s="30">
        <f>SUM(SUMIF(Meals!C:C,A2,Meals!H:H),SUMIF(Meals!K:K,A2,Meals!P:P))</f>
        <v>0</v>
      </c>
      <c r="I2" s="32"/>
      <c r="J2" s="14" t="str">
        <f>IFERROR(INDEX($A$2:$A$192, MATCH(0,INDEX(COUNTIF($J$1:J1, $A$2:$A$192)+(COUNTIF($A$2:$A$192, $A$2:$A$192)&lt;&gt;1),0,0), 0)), "")</f>
        <v>Tuna + Rice Cassarole</v>
      </c>
      <c r="K2" s="14" t="str">
        <f>IFERROR(INDEX(Ingredients!$A$2:$A$114, MATCH(0,INDEX(COUNTIF($K$1:K1, Ingredients!$A$2:$A$114)+(COUNTIF(Ingredients!$A$2:$A$114, Ingredients!$A$2:$A$114)&lt;&gt;1),0,0), 0)), "")</f>
        <v xml:space="preserve">Instant Rice </v>
      </c>
    </row>
    <row r="3" spans="1:11" x14ac:dyDescent="0.25">
      <c r="A3" s="20"/>
      <c r="B3" t="s">
        <v>17</v>
      </c>
      <c r="C3" s="2">
        <v>1</v>
      </c>
      <c r="D3" s="1" t="str">
        <f>VLOOKUP(B3,Ingredients!$A$2:$G$229,5,FALSE)</f>
        <v>cup</v>
      </c>
      <c r="E3" s="1">
        <f>VLOOKUP(B3,Ingredients!$A$2:$G$229,6,FALSE)*C3</f>
        <v>90</v>
      </c>
      <c r="F3" s="1">
        <f>IFERROR(VLOOKUP(B3,Ingredients!$A$2:$H$229,7,FALSE),0)*C3</f>
        <v>320</v>
      </c>
      <c r="G3" s="7">
        <f>C3*$G$2</f>
        <v>0</v>
      </c>
      <c r="I3" s="32"/>
      <c r="J3" s="14" t="str">
        <f>IFERROR(INDEX($A$2:$A$192, MATCH(0,INDEX(COUNTIF($J$1:J2, $A$2:$A$192)+(COUNTIF($A$2:$A$192, $A$2:$A$192)&lt;&gt;1),0,0), 0)), "")</f>
        <v>Salmon + Potato Cassarole</v>
      </c>
      <c r="K3" s="14" t="str">
        <f>IFERROR(INDEX(Ingredients!$A$2:$A$114, MATCH(0,INDEX(COUNTIF($K$1:K2, Ingredients!$A$2:$A$114)+(COUNTIF(Ingredients!$A$2:$A$114, Ingredients!$A$2:$A$114)&lt;&gt;1),0,0), 0)), "")</f>
        <v>Foil Pack Tuna</v>
      </c>
    </row>
    <row r="4" spans="1:11" x14ac:dyDescent="0.25">
      <c r="A4" s="20"/>
      <c r="B4" s="1" t="s">
        <v>20</v>
      </c>
      <c r="C4" s="2">
        <v>1</v>
      </c>
      <c r="D4" s="1" t="str">
        <f>VLOOKUP(B4,Ingredients!$A$2:$G$229,5,FALSE)</f>
        <v>package</v>
      </c>
      <c r="E4" s="1">
        <f>VLOOKUP(B4,Ingredients!$A$2:$G$229,6,FALSE)*C4</f>
        <v>85</v>
      </c>
      <c r="F4" s="1">
        <f>IFERROR(VLOOKUP(B4,Ingredients!$A$2:$H$229,7,FALSE),0)*C4</f>
        <v>90</v>
      </c>
      <c r="G4" s="7">
        <f>C4*$G$2</f>
        <v>0</v>
      </c>
      <c r="I4" s="32"/>
      <c r="J4" s="14" t="str">
        <f>IFERROR(INDEX($A$2:$A$192, MATCH(0,INDEX(COUNTIF($J$1:J3, $A$2:$A$192)+(COUNTIF($A$2:$A$192, $A$2:$A$192)&lt;&gt;1),0,0), 0)), "")</f>
        <v>Tuna + Potato Cassarole</v>
      </c>
      <c r="K4" s="14" t="str">
        <f>IFERROR(INDEX(Ingredients!$A$2:$A$114, MATCH(0,INDEX(COUNTIF($K$1:K3, Ingredients!$A$2:$A$114)+(COUNTIF(Ingredients!$A$2:$A$114, Ingredients!$A$2:$A$114)&lt;&gt;1),0,0), 0)), "")</f>
        <v>Parmasan Cheese Flakes</v>
      </c>
    </row>
    <row r="5" spans="1:11" x14ac:dyDescent="0.25">
      <c r="A5" s="20"/>
      <c r="B5" s="1" t="s">
        <v>24</v>
      </c>
      <c r="C5" s="1">
        <v>3</v>
      </c>
      <c r="D5" s="1" t="str">
        <f>VLOOKUP(B5,Ingredients!$A$2:$G$229,5,FALSE)</f>
        <v>tablespoon</v>
      </c>
      <c r="E5" s="1">
        <f>VLOOKUP(B5,Ingredients!$A$2:$G$229,6,FALSE)*C5</f>
        <v>45</v>
      </c>
      <c r="F5" s="1">
        <f>IFERROR(VLOOKUP(B5,Ingredients!$A$2:$H$229,7,FALSE),0)*C5</f>
        <v>180</v>
      </c>
      <c r="G5" s="7">
        <f t="shared" ref="G5:G6" si="0">C5*$G$2</f>
        <v>0</v>
      </c>
      <c r="I5" s="32"/>
      <c r="J5" s="14" t="str">
        <f>IFERROR(INDEX($A$2:$A$192, MATCH(0,INDEX(COUNTIF($J$1:J4, $A$2:$A$192)+(COUNTIF($A$2:$A$192, $A$2:$A$192)&lt;&gt;1),0,0), 0)), "")</f>
        <v>Cheese Pasta</v>
      </c>
      <c r="K5" s="14" t="str">
        <f>IFERROR(INDEX(Ingredients!$A$2:$A$114, MATCH(0,INDEX(COUNTIF($K$1:K4, Ingredients!$A$2:$A$114)+(COUNTIF(Ingredients!$A$2:$A$114, Ingredients!$A$2:$A$114)&lt;&gt;1),0,0), 0)), "")</f>
        <v>Olive Oil</v>
      </c>
    </row>
    <row r="6" spans="1:11" x14ac:dyDescent="0.25">
      <c r="A6" s="20"/>
      <c r="B6" s="1" t="s">
        <v>28</v>
      </c>
      <c r="C6" s="1">
        <v>1</v>
      </c>
      <c r="D6" s="1" t="str">
        <f>VLOOKUP(B6,Ingredients!$A$2:$G$229,5,FALSE)</f>
        <v>tablespoon</v>
      </c>
      <c r="E6" s="1">
        <f>VLOOKUP(B6,Ingredients!$A$2:$G$229,6,FALSE)*C6</f>
        <v>14</v>
      </c>
      <c r="F6" s="1">
        <f>IFERROR(VLOOKUP(B6,Ingredients!$A$2:$H$229,7,FALSE),0)*C6</f>
        <v>120</v>
      </c>
      <c r="G6" s="7">
        <f t="shared" si="0"/>
        <v>0</v>
      </c>
      <c r="I6" s="32"/>
      <c r="J6" s="14" t="str">
        <f>IFERROR(INDEX($A$2:$A$192, MATCH(0,INDEX(COUNTIF($J$1:J5, $A$2:$A$192)+(COUNTIF($A$2:$A$192, $A$2:$A$192)&lt;&gt;1),0,0), 0)), "")</f>
        <v>Salmon + Rice Cassarole</v>
      </c>
      <c r="K6" s="14" t="str">
        <f>IFERROR(INDEX(Ingredients!$A$2:$A$114, MATCH(0,INDEX(COUNTIF($K$1:K5, Ingredients!$A$2:$A$114)+(COUNTIF(Ingredients!$A$2:$A$114, Ingredients!$A$2:$A$114)&lt;&gt;1),0,0), 0)), "")</f>
        <v>Dehydrated Vegetables</v>
      </c>
    </row>
    <row r="7" spans="1:11" x14ac:dyDescent="0.25">
      <c r="A7" s="20"/>
      <c r="B7" s="1" t="s">
        <v>67</v>
      </c>
      <c r="C7" s="1">
        <v>1</v>
      </c>
      <c r="D7" s="1" t="str">
        <f>VLOOKUP(B7,Ingredients!$A$2:$G$229,5,FALSE)</f>
        <v>tablespoon</v>
      </c>
      <c r="E7" s="1">
        <f>VLOOKUP(B7,Ingredients!$A$2:$G$229,6,FALSE)*C7</f>
        <v>7</v>
      </c>
      <c r="F7" s="1">
        <f>IFERROR(VLOOKUP(B7,Ingredients!$A$2:$H$229,7,FALSE),0)*C7</f>
        <v>30</v>
      </c>
      <c r="G7" s="7">
        <f t="shared" ref="G7" si="1">C7*$G$2</f>
        <v>0</v>
      </c>
      <c r="I7" s="32"/>
      <c r="J7" s="14" t="str">
        <f>IFERROR(INDEX($A$2:$A$192, MATCH(0,INDEX(COUNTIF($J$1:J6, $A$2:$A$192)+(COUNTIF($A$2:$A$192, $A$2:$A$192)&lt;&gt;1),0,0), 0)), "")</f>
        <v>Tortilla and Peanut Butter Lunch</v>
      </c>
      <c r="K7" s="14" t="str">
        <f>IFERROR(INDEX(Ingredients!$A$2:$A$114, MATCH(0,INDEX(COUNTIF($K$1:K6, Ingredients!$A$2:$A$114)+(COUNTIF(Ingredients!$A$2:$A$114, Ingredients!$A$2:$A$114)&lt;&gt;1),0,0), 0)), "")</f>
        <v>Peanuts</v>
      </c>
    </row>
    <row r="8" spans="1:11" x14ac:dyDescent="0.25">
      <c r="A8" s="20"/>
      <c r="B8" s="1" t="s">
        <v>30</v>
      </c>
      <c r="C8" s="1">
        <v>0.5</v>
      </c>
      <c r="D8" s="1" t="str">
        <f>VLOOKUP(B8,Ingredients!$A$2:$G$229,5,FALSE)</f>
        <v>package</v>
      </c>
      <c r="E8" s="1">
        <f>VLOOKUP(B8,Ingredients!$A$2:$G$229,6,FALSE)*C8</f>
        <v>0</v>
      </c>
      <c r="F8" s="1">
        <f>IFERROR(VLOOKUP(B8,Ingredients!$A$2:$H$229,7,FALSE),0)*C8</f>
        <v>70</v>
      </c>
      <c r="G8" s="7">
        <f>C8*$G$2</f>
        <v>0</v>
      </c>
      <c r="I8" s="32"/>
      <c r="J8" s="14" t="str">
        <f>IFERROR(INDEX($A$2:$A$192, MATCH(0,INDEX(COUNTIF($J$1:J7, $A$2:$A$192)+(COUNTIF($A$2:$A$192, $A$2:$A$192)&lt;&gt;1),0,0), 0)), "")</f>
        <v>Sausage Lunch</v>
      </c>
      <c r="K8" s="14" t="str">
        <f>IFERROR(INDEX(Ingredients!$A$2:$A$114, MATCH(0,INDEX(COUNTIF($K$1:K7, Ingredients!$A$2:$A$114)+(COUNTIF(Ingredients!$A$2:$A$114, Ingredients!$A$2:$A$114)&lt;&gt;1),0,0), 0)), "")</f>
        <v>Instant Potato</v>
      </c>
    </row>
    <row r="9" spans="1:11" x14ac:dyDescent="0.25">
      <c r="A9" s="20"/>
      <c r="B9" s="1"/>
      <c r="C9" s="1"/>
      <c r="D9" s="1"/>
      <c r="E9" s="1"/>
      <c r="F9" s="1"/>
      <c r="G9" s="7"/>
      <c r="I9" s="32"/>
      <c r="J9" s="14" t="str">
        <f>IFERROR(INDEX($A$2:$A$192, MATCH(0,INDEX(COUNTIF($J$1:J8, $A$2:$A$192)+(COUNTIF($A$2:$A$192, $A$2:$A$192)&lt;&gt;1),0,0), 0)), "")</f>
        <v>Tuna Lunch</v>
      </c>
      <c r="K9" s="14" t="str">
        <f>IFERROR(INDEX(Ingredients!$A$2:$A$114, MATCH(0,INDEX(COUNTIF($K$1:K8, Ingredients!$A$2:$A$114)+(COUNTIF(Ingredients!$A$2:$A$114, Ingredients!$A$2:$A$114)&lt;&gt;1),0,0), 0)), "")</f>
        <v>Rice Vermicelli Noodles</v>
      </c>
    </row>
    <row r="10" spans="1:11" x14ac:dyDescent="0.25">
      <c r="A10" s="69" t="s">
        <v>138</v>
      </c>
      <c r="B10" s="70"/>
      <c r="C10" s="4">
        <v>1</v>
      </c>
      <c r="D10" s="4" t="s">
        <v>137</v>
      </c>
      <c r="E10" s="4">
        <f>SUM(E11:E18)</f>
        <v>212.18</v>
      </c>
      <c r="F10" s="4">
        <f>SUM(F11:F18)</f>
        <v>787.3</v>
      </c>
      <c r="G10" s="30">
        <f>SUM(SUMIF(Meals!C:C,A10,Meals!H:H),SUMIF(Meals!K:K,A10,Meals!P:P))</f>
        <v>0</v>
      </c>
      <c r="I10" s="32"/>
      <c r="J10" s="14" t="str">
        <f>IFERROR(INDEX($A$2:$A$192, MATCH(0,INDEX(COUNTIF($J$1:J9, $A$2:$A$192)+(COUNTIF($A$2:$A$192, $A$2:$A$192)&lt;&gt;1),0,0), 0)), "")</f>
        <v>Chips and Dip</v>
      </c>
      <c r="K10" s="14" t="str">
        <f>IFERROR(INDEX(Ingredients!$A$2:$A$114, MATCH(0,INDEX(COUNTIF($K$1:K9, Ingredients!$A$2:$A$114)+(COUNTIF(Ingredients!$A$2:$A$114, Ingredients!$A$2:$A$114)&lt;&gt;1),0,0), 0)), "")</f>
        <v>Whole Milk Powder</v>
      </c>
    </row>
    <row r="11" spans="1:11" x14ac:dyDescent="0.25">
      <c r="A11" s="20"/>
      <c r="B11" s="1" t="s">
        <v>33</v>
      </c>
      <c r="C11" s="2">
        <v>0.67</v>
      </c>
      <c r="D11" s="1" t="str">
        <f>VLOOKUP(B11,Ingredients!$A$2:$G$229,5,FALSE)</f>
        <v>cup</v>
      </c>
      <c r="E11" s="1">
        <f>VLOOKUP(B11,Ingredients!$A$2:$G$229,6,FALSE)*C11</f>
        <v>36.18</v>
      </c>
      <c r="F11" s="1">
        <f>IFERROR(VLOOKUP(B11,Ingredients!$A$2:$H$229,7,FALSE),0)*C11</f>
        <v>134</v>
      </c>
      <c r="G11" s="7">
        <f>$G$10*C11</f>
        <v>0</v>
      </c>
      <c r="I11" s="32"/>
      <c r="J11" s="14" t="str">
        <f>IFERROR(INDEX($A$2:$A$192, MATCH(0,INDEX(COUNTIF($J$1:J10, $A$2:$A$192)+(COUNTIF($A$2:$A$192, $A$2:$A$192)&lt;&gt;1),0,0), 0)), "")</f>
        <v>Kyle's Kind Healthy Grain Bar Breakfast</v>
      </c>
      <c r="K11" s="14" t="str">
        <f>IFERROR(INDEX(Ingredients!$A$2:$A$114, MATCH(0,INDEX(COUNTIF($K$1:K10, Ingredients!$A$2:$A$114)+(COUNTIF(Ingredients!$A$2:$A$114, Ingredients!$A$2:$A$114)&lt;&gt;1),0,0), 0)), "")</f>
        <v>Cheese Powder</v>
      </c>
    </row>
    <row r="12" spans="1:11" x14ac:dyDescent="0.25">
      <c r="A12" s="20"/>
      <c r="B12" s="1" t="s">
        <v>44</v>
      </c>
      <c r="C12" s="2">
        <v>1</v>
      </c>
      <c r="D12" s="1" t="str">
        <f>VLOOKUP(B12,Ingredients!$A$2:$G$229,5,FALSE)</f>
        <v>package</v>
      </c>
      <c r="E12" s="1">
        <f>VLOOKUP(B12,Ingredients!$A$2:$G$229,6,FALSE)*C12</f>
        <v>100</v>
      </c>
      <c r="F12" s="1">
        <f>IFERROR(VLOOKUP(B12,Ingredients!$A$2:$H$229,7,FALSE),0)*C12</f>
        <v>200</v>
      </c>
      <c r="G12" s="7">
        <f t="shared" ref="G12:G17" si="2">$G$10*C12</f>
        <v>0</v>
      </c>
      <c r="I12" s="32"/>
      <c r="J12" s="14" t="str">
        <f>IFERROR(INDEX($A$2:$A$192, MATCH(0,INDEX(COUNTIF($J$1:J11, $A$2:$A$192)+(COUNTIF($A$2:$A$192, $A$2:$A$192)&lt;&gt;1),0,0), 0)), "")</f>
        <v>Kyle's Kind Bar Breakfast</v>
      </c>
      <c r="K12" s="14" t="str">
        <f>IFERROR(INDEX(Ingredients!$A$2:$A$114, MATCH(0,INDEX(COUNTIF($K$1:K11, Ingredients!$A$2:$A$114)+(COUNTIF(Ingredients!$A$2:$A$114, Ingredients!$A$2:$A$114)&lt;&gt;1),0,0), 0)), "")</f>
        <v>Foil Pack Chicken</v>
      </c>
    </row>
    <row r="13" spans="1:11" x14ac:dyDescent="0.25">
      <c r="A13" s="20"/>
      <c r="B13" s="1" t="s">
        <v>24</v>
      </c>
      <c r="C13" s="1">
        <v>3</v>
      </c>
      <c r="D13" s="1" t="str">
        <f>VLOOKUP(B13,Ingredients!$A$2:$G$229,5,FALSE)</f>
        <v>tablespoon</v>
      </c>
      <c r="E13" s="1">
        <f>VLOOKUP(B13,Ingredients!$A$2:$G$229,6,FALSE)*C13</f>
        <v>45</v>
      </c>
      <c r="F13" s="1">
        <f>IFERROR(VLOOKUP(B13,Ingredients!$A$2:$H$229,7,FALSE),0)*C13</f>
        <v>180</v>
      </c>
      <c r="G13" s="7">
        <f>$G$10*C13</f>
        <v>0</v>
      </c>
      <c r="I13" s="32"/>
      <c r="J13" s="14" t="str">
        <f>IFERROR(INDEX($A$2:$A$192, MATCH(0,INDEX(COUNTIF($J$1:J12, $A$2:$A$192)+(COUNTIF($A$2:$A$192, $A$2:$A$192)&lt;&gt;1),0,0), 0)), "")</f>
        <v>Kyle's Laura Bar Breakfast</v>
      </c>
      <c r="K13" s="14" t="str">
        <f>IFERROR(INDEX(Ingredients!$A$2:$A$114, MATCH(0,INDEX(COUNTIF($K$1:K12, Ingredients!$A$2:$A$114)+(COUNTIF(Ingredients!$A$2:$A$114, Ingredients!$A$2:$A$114)&lt;&gt;1),0,0), 0)), "")</f>
        <v>Curry Spice</v>
      </c>
    </row>
    <row r="14" spans="1:11" x14ac:dyDescent="0.25">
      <c r="A14" s="20"/>
      <c r="B14" s="1" t="s">
        <v>67</v>
      </c>
      <c r="C14" s="1">
        <v>1</v>
      </c>
      <c r="D14" s="1" t="str">
        <f>VLOOKUP(B14,Ingredients!$A$2:$G$229,5,FALSE)</f>
        <v>tablespoon</v>
      </c>
      <c r="E14" s="1">
        <f>VLOOKUP(B14,Ingredients!$A$2:$G$229,6,FALSE)*C14</f>
        <v>7</v>
      </c>
      <c r="F14" s="1">
        <f>IFERROR(VLOOKUP(B14,Ingredients!$A$2:$H$229,7,FALSE),0)*C14</f>
        <v>30</v>
      </c>
      <c r="G14" s="7">
        <f t="shared" si="2"/>
        <v>0</v>
      </c>
      <c r="I14" s="32"/>
      <c r="J14" s="14" t="str">
        <f>IFERROR(INDEX($A$2:$A$192, MATCH(0,INDEX(COUNTIF($J$1:J13, $A$2:$A$192)+(COUNTIF($A$2:$A$192, $A$2:$A$192)&lt;&gt;1),0,0), 0)), "")</f>
        <v>Kyle's Snickers Bar &amp; Almond Bar</v>
      </c>
      <c r="K14" s="14" t="str">
        <f>IFERROR(INDEX(Ingredients!$A$2:$A$114, MATCH(0,INDEX(COUNTIF($K$1:K13, Ingredients!$A$2:$A$114)+(COUNTIF(Ingredients!$A$2:$A$114, Ingredients!$A$2:$A$114)&lt;&gt;1),0,0), 0)), "")</f>
        <v>Chocolate Almonds</v>
      </c>
    </row>
    <row r="15" spans="1:11" x14ac:dyDescent="0.25">
      <c r="A15" s="20"/>
      <c r="B15" s="1" t="s">
        <v>28</v>
      </c>
      <c r="C15" s="1">
        <v>1</v>
      </c>
      <c r="D15" s="1" t="str">
        <f>VLOOKUP(B15,Ingredients!$A$2:$G$229,5,FALSE)</f>
        <v>tablespoon</v>
      </c>
      <c r="E15" s="1">
        <f>VLOOKUP(B15,Ingredients!$A$2:$G$229,6,FALSE)*C15</f>
        <v>14</v>
      </c>
      <c r="F15" s="1">
        <f>IFERROR(VLOOKUP(B15,Ingredients!$A$2:$H$229,7,FALSE),0)*C15</f>
        <v>120</v>
      </c>
      <c r="G15" s="7">
        <f t="shared" si="2"/>
        <v>0</v>
      </c>
      <c r="I15" s="32"/>
      <c r="J15" s="14" t="str">
        <f>IFERROR(INDEX($A$2:$A$192, MATCH(0,INDEX(COUNTIF($J$1:J14, $A$2:$A$192)+(COUNTIF($A$2:$A$192, $A$2:$A$192)&lt;&gt;1),0,0), 0)), "")</f>
        <v>Beef Jerky Snack</v>
      </c>
      <c r="K15" s="14" t="str">
        <f>IFERROR(INDEX(Ingredients!$A$2:$A$114, MATCH(0,INDEX(COUNTIF($K$1:K14, Ingredients!$A$2:$A$114)+(COUNTIF(Ingredients!$A$2:$A$114, Ingredients!$A$2:$A$114)&lt;&gt;1),0,0), 0)), "")</f>
        <v>Chicken Broth</v>
      </c>
    </row>
    <row r="16" spans="1:11" x14ac:dyDescent="0.25">
      <c r="A16" s="20"/>
      <c r="B16" s="1" t="s">
        <v>30</v>
      </c>
      <c r="C16" s="1">
        <v>0.5</v>
      </c>
      <c r="D16" s="1" t="str">
        <f>VLOOKUP(B16,Ingredients!$A$2:$G$229,5,FALSE)</f>
        <v>package</v>
      </c>
      <c r="E16" s="1">
        <f>VLOOKUP(B16,Ingredients!$A$2:$G$229,6,FALSE)*C16</f>
        <v>0</v>
      </c>
      <c r="F16" s="1">
        <f>IFERROR(VLOOKUP(B16,Ingredients!$A$2:$H$229,7,FALSE),0)*C16</f>
        <v>70</v>
      </c>
      <c r="G16" s="7">
        <f t="shared" si="2"/>
        <v>0</v>
      </c>
      <c r="I16" s="32"/>
      <c r="J16" s="14" t="str">
        <f>IFERROR(INDEX($A$2:$A$192, MATCH(0,INDEX(COUNTIF($J$1:J15, $A$2:$A$192)+(COUNTIF($A$2:$A$192, $A$2:$A$192)&lt;&gt;1),0,0), 0)), "")</f>
        <v>Gummy Bears Snack</v>
      </c>
      <c r="K16" s="14" t="str">
        <f>IFERROR(INDEX(Ingredients!$A$2:$A$114, MATCH(0,INDEX(COUNTIF($K$1:K15, Ingredients!$A$2:$A$114)+(COUNTIF(Ingredients!$A$2:$A$114, Ingredients!$A$2:$A$114)&lt;&gt;1),0,0), 0)), "")</f>
        <v>Dehydrated Onion</v>
      </c>
    </row>
    <row r="17" spans="1:11" x14ac:dyDescent="0.25">
      <c r="A17" s="20"/>
      <c r="B17" s="1" t="s">
        <v>36</v>
      </c>
      <c r="C17" s="1">
        <v>1</v>
      </c>
      <c r="D17" s="1" t="str">
        <f>VLOOKUP(B17,Ingredients!$A$2:$G$229,5,FALSE)</f>
        <v>tablespoon</v>
      </c>
      <c r="E17" s="1">
        <f>VLOOKUP(B17,Ingredients!$A$2:$G$229,6,FALSE)*C17</f>
        <v>10</v>
      </c>
      <c r="F17" s="1">
        <f>IFERROR(VLOOKUP(B17,Ingredients!$A$2:$H$229,7,FALSE),0)*C17</f>
        <v>53.3</v>
      </c>
      <c r="G17" s="7">
        <f t="shared" si="2"/>
        <v>0</v>
      </c>
      <c r="I17" s="32"/>
      <c r="J17" s="14" t="str">
        <f>IFERROR(INDEX($A$2:$A$192, MATCH(0,INDEX(COUNTIF($J$1:J16, $A$2:$A$192)+(COUNTIF($A$2:$A$192, $A$2:$A$192)&lt;&gt;1),0,0), 0)), "")</f>
        <v>Cheese and Salmon Mac n Cheeze</v>
      </c>
      <c r="K17" s="14" t="str">
        <f>IFERROR(INDEX(Ingredients!$A$2:$A$114, MATCH(0,INDEX(COUNTIF($K$1:K16, Ingredients!$A$2:$A$114)+(COUNTIF(Ingredients!$A$2:$A$114, Ingredients!$A$2:$A$114)&lt;&gt;1),0,0), 0)), "")</f>
        <v>Foil Pack Salmon</v>
      </c>
    </row>
    <row r="18" spans="1:11" x14ac:dyDescent="0.25">
      <c r="A18" s="20"/>
      <c r="B18" s="1"/>
      <c r="C18" s="1"/>
      <c r="D18" s="1"/>
      <c r="E18" s="1"/>
      <c r="F18" s="1">
        <f>IFERROR(VLOOKUP(B18,Ingredients!$A$2:$H$229,7,FALSE),0)*C18</f>
        <v>0</v>
      </c>
      <c r="G18" s="7"/>
      <c r="I18" s="32"/>
      <c r="J18" s="14" t="str">
        <f>IFERROR(INDEX($A$2:$A$192, MATCH(0,INDEX(COUNTIF($J$1:J17, $A$2:$A$192)+(COUNTIF($A$2:$A$192, $A$2:$A$192)&lt;&gt;1),0,0), 0)), "")</f>
        <v>Cheese and Ramen Pasta</v>
      </c>
      <c r="K18" s="14" t="str">
        <f>IFERROR(INDEX(Ingredients!$A$2:$A$114, MATCH(0,INDEX(COUNTIF($K$1:K17, Ingredients!$A$2:$A$114)+(COUNTIF(Ingredients!$A$2:$A$114, Ingredients!$A$2:$A$114)&lt;&gt;1),0,0), 0)), "")</f>
        <v>Tortilla (Wrap)</v>
      </c>
    </row>
    <row r="19" spans="1:11" x14ac:dyDescent="0.25">
      <c r="A19" s="69" t="s">
        <v>139</v>
      </c>
      <c r="B19" s="70"/>
      <c r="C19" s="4">
        <v>1</v>
      </c>
      <c r="D19" s="4" t="s">
        <v>137</v>
      </c>
      <c r="E19" s="4">
        <f>SUM(E20:E27)</f>
        <v>197.18</v>
      </c>
      <c r="F19" s="4">
        <f>SUM(F20:F27)</f>
        <v>677.3</v>
      </c>
      <c r="G19" s="30">
        <f>SUM(SUMIF(Meals!C:C,A19,Meals!H:H),SUMIF(Meals!K:K,A19,Meals!P:P))</f>
        <v>0</v>
      </c>
      <c r="I19" s="32"/>
      <c r="J19" s="14" t="str">
        <f>IFERROR(INDEX($A$2:$A$192, MATCH(0,INDEX(COUNTIF($J$1:J18, $A$2:$A$192)+(COUNTIF($A$2:$A$192, $A$2:$A$192)&lt;&gt;1),0,0), 0)), "")</f>
        <v>Nothing</v>
      </c>
      <c r="K19" s="14" t="str">
        <f>IFERROR(INDEX(Ingredients!$A$2:$A$114, MATCH(0,INDEX(COUNTIF($K$1:K18, Ingredients!$A$2:$A$114)+(COUNTIF(Ingredients!$A$2:$A$114, Ingredients!$A$2:$A$114)&lt;&gt;1),0,0), 0)), "")</f>
        <v>Peanut Butter</v>
      </c>
    </row>
    <row r="20" spans="1:11" x14ac:dyDescent="0.25">
      <c r="A20" s="20"/>
      <c r="B20" s="1" t="s">
        <v>33</v>
      </c>
      <c r="C20" s="2">
        <v>0.67</v>
      </c>
      <c r="D20" s="1" t="str">
        <f>VLOOKUP(B20,Ingredients!$A$2:$G$229,5,FALSE)</f>
        <v>cup</v>
      </c>
      <c r="E20" s="1">
        <f>VLOOKUP(B20,Ingredients!$A$2:$G$229,6,FALSE)*C20</f>
        <v>36.18</v>
      </c>
      <c r="F20" s="1">
        <f>IFERROR(VLOOKUP(B20,Ingredients!$A$2:$H$229,7,FALSE),0)*C20</f>
        <v>134</v>
      </c>
      <c r="G20" s="7">
        <f>$G$19*C20</f>
        <v>0</v>
      </c>
      <c r="I20" s="32"/>
      <c r="J20" s="14" t="str">
        <f>IFERROR(INDEX($A$2:$A$192, MATCH(0,INDEX(COUNTIF($J$1:J19, $A$2:$A$192)+(COUNTIF($A$2:$A$192, $A$2:$A$192)&lt;&gt;1),0,0), 0)), "")</f>
        <v>Beans and Rice</v>
      </c>
      <c r="K20" s="14" t="str">
        <f>IFERROR(INDEX(Ingredients!$A$2:$A$114, MATCH(0,INDEX(COUNTIF($K$1:K19, Ingredients!$A$2:$A$114)+(COUNTIF(Ingredients!$A$2:$A$114, Ingredients!$A$2:$A$114)&lt;&gt;1),0,0), 0)), "")</f>
        <v>Dried cranberries</v>
      </c>
    </row>
    <row r="21" spans="1:11" ht="14.45" customHeight="1" x14ac:dyDescent="0.25">
      <c r="A21" s="20"/>
      <c r="B21" s="1" t="s">
        <v>20</v>
      </c>
      <c r="C21" s="2">
        <v>1</v>
      </c>
      <c r="D21" s="1" t="str">
        <f>VLOOKUP(B21,Ingredients!$A$2:$G$229,5,FALSE)</f>
        <v>package</v>
      </c>
      <c r="E21" s="1">
        <f>VLOOKUP(B21,Ingredients!$A$2:$G$229,6,FALSE)*C21</f>
        <v>85</v>
      </c>
      <c r="F21" s="1">
        <f>IFERROR(VLOOKUP(B21,Ingredients!$A$2:$H$229,7,FALSE),0)*C21</f>
        <v>90</v>
      </c>
      <c r="G21" s="7">
        <f t="shared" ref="G21:G26" si="3">$G$19*C21</f>
        <v>0</v>
      </c>
      <c r="I21" s="32"/>
      <c r="J21" s="14" t="str">
        <f>IFERROR(INDEX($A$2:$A$192, MATCH(0,INDEX(COUNTIF($J$1:J20, $A$2:$A$192)+(COUNTIF($A$2:$A$192, $A$2:$A$192)&lt;&gt;1),0,0), 0)), "")</f>
        <v>Baby Food Pouch</v>
      </c>
      <c r="K21" s="14" t="str">
        <f>IFERROR(INDEX(Ingredients!$A$2:$A$114, MATCH(0,INDEX(COUNTIF($K$1:K20, Ingredients!$A$2:$A$114)+(COUNTIF(Ingredients!$A$2:$A$114, Ingredients!$A$2:$A$114)&lt;&gt;1),0,0), 0)), "")</f>
        <v>Chocolate Chips</v>
      </c>
    </row>
    <row r="22" spans="1:11" x14ac:dyDescent="0.25">
      <c r="A22" s="20"/>
      <c r="B22" s="1" t="s">
        <v>24</v>
      </c>
      <c r="C22" s="1">
        <v>3</v>
      </c>
      <c r="D22" s="1" t="str">
        <f>VLOOKUP(B22,Ingredients!$A$2:$G$229,5,FALSE)</f>
        <v>tablespoon</v>
      </c>
      <c r="E22" s="1">
        <f>VLOOKUP(B22,Ingredients!$A$2:$G$229,6,FALSE)*C22</f>
        <v>45</v>
      </c>
      <c r="F22" s="1">
        <f>IFERROR(VLOOKUP(B22,Ingredients!$A$2:$H$229,7,FALSE),0)*C22</f>
        <v>180</v>
      </c>
      <c r="G22" s="7">
        <f t="shared" si="3"/>
        <v>0</v>
      </c>
      <c r="I22" s="32"/>
      <c r="J22" s="14" t="str">
        <f>IFERROR(INDEX($A$2:$A$192, MATCH(0,INDEX(COUNTIF($J$1:J21, $A$2:$A$192)+(COUNTIF($A$2:$A$192, $A$2:$A$192)&lt;&gt;1),0,0), 0)), "")</f>
        <v>Natasha Pop Tart Breakfast</v>
      </c>
      <c r="K22" s="14" t="str">
        <f>IFERROR(INDEX(Ingredients!$A$2:$A$114, MATCH(0,INDEX(COUNTIF($K$1:K21, Ingredients!$A$2:$A$114)+(COUNTIF(Ingredients!$A$2:$A$114, Ingredients!$A$2:$A$114)&lt;&gt;1),0,0), 0)), "")</f>
        <v>Sausage</v>
      </c>
    </row>
    <row r="23" spans="1:11" x14ac:dyDescent="0.25">
      <c r="A23" s="20"/>
      <c r="B23" s="1" t="s">
        <v>67</v>
      </c>
      <c r="C23" s="1">
        <v>1</v>
      </c>
      <c r="D23" s="1" t="str">
        <f>VLOOKUP(B23,Ingredients!$A$2:$G$229,5,FALSE)</f>
        <v>tablespoon</v>
      </c>
      <c r="E23" s="1">
        <f>VLOOKUP(B23,Ingredients!$A$2:$G$229,6,FALSE)*C23</f>
        <v>7</v>
      </c>
      <c r="F23" s="1">
        <f>IFERROR(VLOOKUP(B23,Ingredients!$A$2:$H$229,7,FALSE),0)*C23</f>
        <v>30</v>
      </c>
      <c r="G23" s="7">
        <f t="shared" si="3"/>
        <v>0</v>
      </c>
      <c r="I23" s="32"/>
      <c r="J23" s="14" t="str">
        <f>IFERROR(INDEX($A$2:$A$192, MATCH(0,INDEX(COUNTIF($J$1:J22, $A$2:$A$192)+(COUNTIF($A$2:$A$192, $A$2:$A$192)&lt;&gt;1),0,0), 0)), "")</f>
        <v>Pesto Noodle</v>
      </c>
      <c r="K23" s="14" t="str">
        <f>IFERROR(INDEX(Ingredients!$A$2:$A$114, MATCH(0,INDEX(COUNTIF($K$1:K22, Ingredients!$A$2:$A$114)+(COUNTIF(Ingredients!$A$2:$A$114, Ingredients!$A$2:$A$114)&lt;&gt;1),0,0), 0)), "")</f>
        <v>Aged Cheddar Cheese</v>
      </c>
    </row>
    <row r="24" spans="1:11" x14ac:dyDescent="0.25">
      <c r="A24" s="20"/>
      <c r="B24" s="1" t="s">
        <v>28</v>
      </c>
      <c r="C24" s="1">
        <v>1</v>
      </c>
      <c r="D24" s="1" t="str">
        <f>VLOOKUP(B24,Ingredients!$A$2:$G$229,5,FALSE)</f>
        <v>tablespoon</v>
      </c>
      <c r="E24" s="1">
        <f>VLOOKUP(B24,Ingredients!$A$2:$G$229,6,FALSE)*C24</f>
        <v>14</v>
      </c>
      <c r="F24" s="1">
        <f>IFERROR(VLOOKUP(B24,Ingredients!$A$2:$H$229,7,FALSE),0)*C24</f>
        <v>120</v>
      </c>
      <c r="G24" s="7">
        <f t="shared" si="3"/>
        <v>0</v>
      </c>
      <c r="I24" s="32"/>
      <c r="J24" s="14" t="str">
        <f>IFERROR(INDEX($A$2:$A$192, MATCH(0,INDEX(COUNTIF($J$1:J23, $A$2:$A$192)+(COUNTIF($A$2:$A$192, $A$2:$A$192)&lt;&gt;1),0,0), 0)), "")</f>
        <v>Gatorade (1.5 L)</v>
      </c>
      <c r="K24" s="14" t="str">
        <f>IFERROR(INDEX(Ingredients!$A$2:$A$114, MATCH(0,INDEX(COUNTIF($K$1:K23, Ingredients!$A$2:$A$114)+(COUNTIF(Ingredients!$A$2:$A$114, Ingredients!$A$2:$A$114)&lt;&gt;1),0,0), 0)), "")</f>
        <v>Oatmeal</v>
      </c>
    </row>
    <row r="25" spans="1:11" x14ac:dyDescent="0.25">
      <c r="A25" s="20"/>
      <c r="B25" s="1" t="s">
        <v>30</v>
      </c>
      <c r="C25" s="1">
        <v>0.5</v>
      </c>
      <c r="D25" s="1" t="str">
        <f>VLOOKUP(B25,Ingredients!$A$2:$G$229,5,FALSE)</f>
        <v>package</v>
      </c>
      <c r="E25" s="1">
        <f>VLOOKUP(B25,Ingredients!$A$2:$G$229,6,FALSE)*C25</f>
        <v>0</v>
      </c>
      <c r="F25" s="1">
        <f>IFERROR(VLOOKUP(B25,Ingredients!$A$2:$H$229,7,FALSE),0)*C25</f>
        <v>70</v>
      </c>
      <c r="G25" s="7">
        <f t="shared" si="3"/>
        <v>0</v>
      </c>
      <c r="I25" s="32"/>
      <c r="J25" s="14" t="str">
        <f>IFERROR(INDEX($A$2:$A$192, MATCH(0,INDEX(COUNTIF($J$1:J24, $A$2:$A$192)+(COUNTIF($A$2:$A$192, $A$2:$A$192)&lt;&gt;1),0,0), 0)), "")</f>
        <v>Peanut Noodles</v>
      </c>
      <c r="K25" s="14" t="str">
        <f>IFERROR(INDEX(Ingredients!$A$2:$A$114, MATCH(0,INDEX(COUNTIF($K$1:K24, Ingredients!$A$2:$A$114)+(COUNTIF(Ingredients!$A$2:$A$114, Ingredients!$A$2:$A$114)&lt;&gt;1),0,0), 0)), "")</f>
        <v>Banana Chips</v>
      </c>
    </row>
    <row r="26" spans="1:11" x14ac:dyDescent="0.25">
      <c r="A26" s="20"/>
      <c r="B26" s="1" t="s">
        <v>36</v>
      </c>
      <c r="C26" s="1">
        <v>1</v>
      </c>
      <c r="D26" s="1" t="str">
        <f>VLOOKUP(B26,Ingredients!$A$2:$G$229,5,FALSE)</f>
        <v>tablespoon</v>
      </c>
      <c r="E26" s="1">
        <f>VLOOKUP(B26,Ingredients!$A$2:$G$229,6,FALSE)*C26</f>
        <v>10</v>
      </c>
      <c r="F26" s="1">
        <f>IFERROR(VLOOKUP(B26,Ingredients!$A$2:$H$229,7,FALSE),0)*C26</f>
        <v>53.3</v>
      </c>
      <c r="G26" s="7">
        <f t="shared" si="3"/>
        <v>0</v>
      </c>
      <c r="I26" s="32"/>
      <c r="J26" s="14" t="str">
        <f>IFERROR(INDEX($A$2:$A$192, MATCH(0,INDEX(COUNTIF($J$1:J25, $A$2:$A$192)+(COUNTIF($A$2:$A$192, $A$2:$A$192)&lt;&gt;1),0,0), 0)), "")</f>
        <v>Instant Carnation Mix</v>
      </c>
      <c r="K26" s="14" t="str">
        <f>IFERROR(INDEX(Ingredients!$A$2:$A$114, MATCH(0,INDEX(COUNTIF($K$1:K25, Ingredients!$A$2:$A$114)+(COUNTIF(Ingredients!$A$2:$A$114, Ingredients!$A$2:$A$114)&lt;&gt;1),0,0), 0)), "")</f>
        <v>Brown sugar</v>
      </c>
    </row>
    <row r="27" spans="1:11" x14ac:dyDescent="0.25">
      <c r="A27" s="20"/>
      <c r="B27" s="1"/>
      <c r="C27" s="1"/>
      <c r="D27" s="1"/>
      <c r="E27" s="1"/>
      <c r="F27" s="1">
        <f>IFERROR(VLOOKUP(B27,Ingredients!$A$2:$H$229,7,FALSE),0)*C27</f>
        <v>0</v>
      </c>
      <c r="G27" s="7"/>
      <c r="I27" s="32"/>
      <c r="J27" s="14" t="str">
        <f>IFERROR(INDEX($A$2:$A$192, MATCH(0,INDEX(COUNTIF($J$1:J26, $A$2:$A$192)+(COUNTIF($A$2:$A$192, $A$2:$A$192)&lt;&gt;1),0,0), 0)), "")</f>
        <v>Peanut Butter (Spoonful)</v>
      </c>
      <c r="K27" s="14" t="str">
        <f>IFERROR(INDEX(Ingredients!$A$2:$A$114, MATCH(0,INDEX(COUNTIF($K$1:K26, Ingredients!$A$2:$A$114)+(COUNTIF(Ingredients!$A$2:$A$114, Ingredients!$A$2:$A$114)&lt;&gt;1),0,0), 0)), "")</f>
        <v>Tortilla (Chips)</v>
      </c>
    </row>
    <row r="28" spans="1:11" x14ac:dyDescent="0.25">
      <c r="A28" s="69" t="s">
        <v>140</v>
      </c>
      <c r="B28" s="70"/>
      <c r="C28" s="4">
        <v>1</v>
      </c>
      <c r="D28" s="4" t="s">
        <v>137</v>
      </c>
      <c r="E28" s="4"/>
      <c r="F28" s="4">
        <f>SUM(F29:F32)</f>
        <v>341.3</v>
      </c>
      <c r="G28" s="30">
        <f>SUM(SUMIF(Meals!C:C,A28,Meals!H:H),SUMIF(Meals!K:K,A28,Meals!P:P))</f>
        <v>0</v>
      </c>
      <c r="I28" s="32"/>
      <c r="J28" s="14" t="str">
        <f>IFERROR(INDEX($A$2:$A$192, MATCH(0,INDEX(COUNTIF($J$1:J27, $A$2:$A$192)+(COUNTIF($A$2:$A$192, $A$2:$A$192)&lt;&gt;1),0,0), 0)), "")</f>
        <v>Corn Chips (Handful)</v>
      </c>
      <c r="K28" s="14" t="str">
        <f>IFERROR(INDEX(Ingredients!$A$2:$A$114, MATCH(0,INDEX(COUNTIF($K$1:K27, Ingredients!$A$2:$A$114)+(COUNTIF(Ingredients!$A$2:$A$114, Ingredients!$A$2:$A$114)&lt;&gt;1),0,0), 0)), "")</f>
        <v>Dehydrated Hummus</v>
      </c>
    </row>
    <row r="29" spans="1:11" x14ac:dyDescent="0.25">
      <c r="A29" s="20"/>
      <c r="B29" s="1" t="s">
        <v>34</v>
      </c>
      <c r="C29" s="2">
        <v>1</v>
      </c>
      <c r="D29" s="1" t="str">
        <f>VLOOKUP(B29,Ingredients!$A$2:$G$229,5,FALSE)</f>
        <v>Brick of noodles (1/5 of package)</v>
      </c>
      <c r="E29" s="1">
        <f>VLOOKUP(B29,Ingredients!$A$2:$G$229,6,FALSE)*C29</f>
        <v>45</v>
      </c>
      <c r="F29" s="1">
        <f>IFERROR(VLOOKUP(B29,Ingredients!$A$2:$H$229,7,FALSE),0)*C29</f>
        <v>168</v>
      </c>
      <c r="G29" s="7">
        <f>$G$28*C29</f>
        <v>0</v>
      </c>
      <c r="I29" s="32"/>
      <c r="J29" s="14" t="str">
        <f>IFERROR(INDEX($A$2:$A$192, MATCH(0,INDEX(COUNTIF($J$1:J28, $A$2:$A$192)+(COUNTIF($A$2:$A$192, $A$2:$A$192)&lt;&gt;1),0,0), 0)), "")</f>
        <v>ProBar</v>
      </c>
      <c r="K29" s="14" t="str">
        <f>IFERROR(INDEX(Ingredients!$A$2:$A$114, MATCH(0,INDEX(COUNTIF($K$1:K28, Ingredients!$A$2:$A$114)+(COUNTIF(Ingredients!$A$2:$A$114, Ingredients!$A$2:$A$114)&lt;&gt;1),0,0), 0)), "")</f>
        <v>Snickers Bar</v>
      </c>
    </row>
    <row r="30" spans="1:11" x14ac:dyDescent="0.25">
      <c r="A30" s="20"/>
      <c r="B30" s="1" t="s">
        <v>36</v>
      </c>
      <c r="C30" s="2">
        <v>1</v>
      </c>
      <c r="D30" s="1" t="str">
        <f>VLOOKUP(B30,Ingredients!$A$2:$G$229,5,FALSE)</f>
        <v>tablespoon</v>
      </c>
      <c r="E30" s="1">
        <f>VLOOKUP(B30,Ingredients!$A$2:$G$229,6,FALSE)*C30</f>
        <v>10</v>
      </c>
      <c r="F30" s="1">
        <f>IFERROR(VLOOKUP(B30,Ingredients!$A$2:$H$229,7,FALSE),0)*C30</f>
        <v>53.3</v>
      </c>
      <c r="G30" s="7">
        <f>$G$28*C30</f>
        <v>0</v>
      </c>
      <c r="I30" s="32"/>
      <c r="J30" s="14" t="str">
        <f>IFERROR(INDEX($A$2:$A$192, MATCH(0,INDEX(COUNTIF($J$1:J29, $A$2:$A$192)+(COUNTIF($A$2:$A$192, $A$2:$A$192)&lt;&gt;1),0,0), 0)), "")</f>
        <v>Cliff Bar</v>
      </c>
      <c r="K30" s="14" t="str">
        <f>IFERROR(INDEX(Ingredients!$A$2:$A$114, MATCH(0,INDEX(COUNTIF($K$1:K29, Ingredients!$A$2:$A$114)+(COUNTIF(Ingredients!$A$2:$A$114, Ingredients!$A$2:$A$114)&lt;&gt;1),0,0), 0)), "")</f>
        <v>Cashews</v>
      </c>
    </row>
    <row r="31" spans="1:11" x14ac:dyDescent="0.25">
      <c r="A31" s="20"/>
      <c r="B31" s="1" t="s">
        <v>24</v>
      </c>
      <c r="C31" s="1">
        <v>2</v>
      </c>
      <c r="D31" s="1" t="str">
        <f>VLOOKUP(B31,Ingredients!$A$2:$G$229,5,FALSE)</f>
        <v>tablespoon</v>
      </c>
      <c r="E31" s="1">
        <f>VLOOKUP(B31,Ingredients!$A$2:$G$229,6,FALSE)*C31</f>
        <v>30</v>
      </c>
      <c r="F31" s="1">
        <f>IFERROR(VLOOKUP(B31,Ingredients!$A$2:$H$229,7,FALSE),0)*C31</f>
        <v>120</v>
      </c>
      <c r="G31" s="7">
        <f>$G$28*C31</f>
        <v>0</v>
      </c>
      <c r="I31" s="32"/>
      <c r="J31" s="14" t="str">
        <f>IFERROR(INDEX($A$2:$A$192, MATCH(0,INDEX(COUNTIF($J$1:J30, $A$2:$A$192)+(COUNTIF($A$2:$A$192, $A$2:$A$192)&lt;&gt;1),0,0), 0)), "")</f>
        <v>Kind Bar</v>
      </c>
      <c r="K31" s="14" t="str">
        <f>IFERROR(INDEX(Ingredients!$A$2:$A$114, MATCH(0,INDEX(COUNTIF($K$1:K30, Ingredients!$A$2:$A$114)+(COUNTIF(Ingredients!$A$2:$A$114, Ingredients!$A$2:$A$114)&lt;&gt;1),0,0), 0)), "")</f>
        <v>Annies Rice Pasta and Mac and Cheese</v>
      </c>
    </row>
    <row r="32" spans="1:11" x14ac:dyDescent="0.25">
      <c r="A32" s="58"/>
      <c r="B32" s="56"/>
      <c r="C32" s="1"/>
      <c r="D32" s="1"/>
      <c r="E32" s="1"/>
      <c r="F32" s="1"/>
      <c r="G32" s="59"/>
      <c r="I32" s="32"/>
      <c r="J32" s="14" t="str">
        <f>IFERROR(INDEX($A$2:$A$192, MATCH(0,INDEX(COUNTIF($J$1:J31, $A$2:$A$192)+(COUNTIF($A$2:$A$192, $A$2:$A$192)&lt;&gt;1),0,0), 0)), "")</f>
        <v>OHenry Bar</v>
      </c>
      <c r="K32" s="14" t="str">
        <f>IFERROR(INDEX(Ingredients!$A$2:$A$114, MATCH(0,INDEX(COUNTIF($K$1:K31, Ingredients!$A$2:$A$114)+(COUNTIF(Ingredients!$A$2:$A$114, Ingredients!$A$2:$A$114)&lt;&gt;1),0,0), 0)), "")</f>
        <v>Bacon Bits</v>
      </c>
    </row>
    <row r="33" spans="1:11" x14ac:dyDescent="0.25">
      <c r="A33" s="69" t="s">
        <v>141</v>
      </c>
      <c r="B33" s="70"/>
      <c r="C33" s="4">
        <v>1</v>
      </c>
      <c r="D33" s="4" t="s">
        <v>137</v>
      </c>
      <c r="E33" s="4">
        <f>SUM(E34:E40)</f>
        <v>249</v>
      </c>
      <c r="F33" s="4">
        <f>SUM(F34:F40)</f>
        <v>907</v>
      </c>
      <c r="G33" s="30">
        <f>SUM(SUMIF(Meals!C:C,A33,Meals!H:H),SUMIF(Meals!K:K,A33,Meals!P:P))</f>
        <v>0</v>
      </c>
      <c r="I33" s="32"/>
      <c r="J33" s="14" t="str">
        <f>IFERROR(INDEX($A$2:$A$192, MATCH(0,INDEX(COUNTIF($J$1:J32, $A$2:$A$192)+(COUNTIF($A$2:$A$192, $A$2:$A$192)&lt;&gt;1),0,0), 0)), "")</f>
        <v>Cookies'n'Cream Bar</v>
      </c>
      <c r="K33" s="14" t="str">
        <f>IFERROR(INDEX(Ingredients!$A$2:$A$114, MATCH(0,INDEX(COUNTIF($K$1:K32, Ingredients!$A$2:$A$114)+(COUNTIF(Ingredients!$A$2:$A$114, Ingredients!$A$2:$A$114)&lt;&gt;1),0,0), 0)), "")</f>
        <v>Beef Jerky</v>
      </c>
    </row>
    <row r="34" spans="1:11" x14ac:dyDescent="0.25">
      <c r="A34" s="20"/>
      <c r="B34" s="1" t="s">
        <v>17</v>
      </c>
      <c r="C34" s="2">
        <v>1</v>
      </c>
      <c r="D34" s="1" t="str">
        <f>VLOOKUP(B34,Ingredients!$A$2:$G$229,5,FALSE)</f>
        <v>cup</v>
      </c>
      <c r="E34" s="1">
        <f>VLOOKUP(B34,Ingredients!$A$2:$G$229,6,FALSE)*C34</f>
        <v>90</v>
      </c>
      <c r="F34" s="1">
        <f>IFERROR(VLOOKUP(B34,Ingredients!$A$2:$H$229,7,FALSE),0)*C34</f>
        <v>320</v>
      </c>
      <c r="G34" s="7">
        <f>$G$33*C34</f>
        <v>0</v>
      </c>
      <c r="I34" s="32"/>
      <c r="J34" s="14" t="str">
        <f>IFERROR(INDEX($A$2:$A$192, MATCH(0,INDEX(COUNTIF($J$1:J33, $A$2:$A$192)+(COUNTIF($A$2:$A$192, $A$2:$A$192)&lt;&gt;1),0,0), 0)), "")</f>
        <v>Snickers Bar</v>
      </c>
      <c r="K34" s="14" t="str">
        <f>IFERROR(INDEX(Ingredients!$A$2:$A$114, MATCH(0,INDEX(COUNTIF($K$1:K33, Ingredients!$A$2:$A$114)+(COUNTIF(Ingredients!$A$2:$A$114, Ingredients!$A$2:$A$114)&lt;&gt;1),0,0), 0)), "")</f>
        <v>Couscous</v>
      </c>
    </row>
    <row r="35" spans="1:11" x14ac:dyDescent="0.25">
      <c r="A35" s="20"/>
      <c r="B35" s="1" t="s">
        <v>44</v>
      </c>
      <c r="C35" s="2">
        <v>1</v>
      </c>
      <c r="D35" s="1" t="str">
        <f>VLOOKUP(B35,Ingredients!$A$2:$G$229,5,FALSE)</f>
        <v>package</v>
      </c>
      <c r="E35" s="1">
        <f>VLOOKUP(B35,Ingredients!$A$2:$G$229,6,FALSE)*C35</f>
        <v>100</v>
      </c>
      <c r="F35" s="1">
        <f>IFERROR(VLOOKUP(B35,Ingredients!$A$2:$H$229,7,FALSE),0)*C35</f>
        <v>200</v>
      </c>
      <c r="G35" s="7">
        <f t="shared" ref="G35:G39" si="4">$G$33*C35</f>
        <v>0</v>
      </c>
      <c r="I35" s="32"/>
      <c r="J35" s="14" t="str">
        <f>IFERROR(INDEX($A$2:$A$192, MATCH(0,INDEX(COUNTIF($J$1:J34, $A$2:$A$192)+(COUNTIF($A$2:$A$192, $A$2:$A$192)&lt;&gt;1),0,0), 0)), "")</f>
        <v/>
      </c>
      <c r="K35" s="14" t="str">
        <f>IFERROR(INDEX(Ingredients!$A$2:$A$114, MATCH(0,INDEX(COUNTIF($K$1:K34, Ingredients!$A$2:$A$114)+(COUNTIF(Ingredients!$A$2:$A$114, Ingredients!$A$2:$A$114)&lt;&gt;1),0,0), 0)), "")</f>
        <v>Chicken Gravy</v>
      </c>
    </row>
    <row r="36" spans="1:11" x14ac:dyDescent="0.25">
      <c r="A36" s="20"/>
      <c r="B36" s="1" t="s">
        <v>24</v>
      </c>
      <c r="C36" s="1">
        <v>3</v>
      </c>
      <c r="D36" s="1" t="str">
        <f>VLOOKUP(B36,Ingredients!$A$2:$G$229,5,FALSE)</f>
        <v>tablespoon</v>
      </c>
      <c r="E36" s="1">
        <f>VLOOKUP(B36,Ingredients!$A$2:$G$229,6,FALSE)*C36</f>
        <v>45</v>
      </c>
      <c r="F36" s="1">
        <f>IFERROR(VLOOKUP(B36,Ingredients!$A$2:$H$229,7,FALSE),0)*C36</f>
        <v>180</v>
      </c>
      <c r="G36" s="7">
        <f t="shared" si="4"/>
        <v>0</v>
      </c>
      <c r="I36" s="32"/>
      <c r="J36" s="14" t="str">
        <f>IFERROR(INDEX($A$2:$A$192, MATCH(0,INDEX(COUNTIF($J$1:J35, $A$2:$A$192)+(COUNTIF($A$2:$A$192, $A$2:$A$192)&lt;&gt;1),0,0), 0)), "")</f>
        <v/>
      </c>
      <c r="K36" s="14" t="str">
        <f>IFERROR(INDEX(Ingredients!$A$2:$A$114, MATCH(0,INDEX(COUNTIF($K$1:K35, Ingredients!$A$2:$A$114)+(COUNTIF(Ingredients!$A$2:$A$114, Ingredients!$A$2:$A$114)&lt;&gt;1),0,0), 0)), "")</f>
        <v>Rice Ramen Noodle and Miso</v>
      </c>
    </row>
    <row r="37" spans="1:11" x14ac:dyDescent="0.25">
      <c r="A37" s="20"/>
      <c r="B37" s="1" t="s">
        <v>43</v>
      </c>
      <c r="C37" s="1">
        <v>1</v>
      </c>
      <c r="D37" s="1" t="str">
        <f>VLOOKUP(B37,Ingredients!$A$2:$G$229,5,FALSE)</f>
        <v>tablespoon</v>
      </c>
      <c r="E37" s="1">
        <f>VLOOKUP(B37,Ingredients!$A$2:$G$229,6,FALSE)*C37</f>
        <v>0</v>
      </c>
      <c r="F37" s="1">
        <f>IFERROR(VLOOKUP(B37,Ingredients!$A$2:$H$229,7,FALSE),0)*C37</f>
        <v>17</v>
      </c>
      <c r="G37" s="7">
        <f t="shared" si="4"/>
        <v>0</v>
      </c>
      <c r="I37" s="32"/>
      <c r="J37" s="14" t="str">
        <f>IFERROR(INDEX($A$2:$A$192, MATCH(0,INDEX(COUNTIF($J$1:J36, $A$2:$A$192)+(COUNTIF($A$2:$A$192, $A$2:$A$192)&lt;&gt;1),0,0), 0)), "")</f>
        <v/>
      </c>
      <c r="K37" s="14" t="str">
        <f>IFERROR(INDEX(Ingredients!$A$2:$A$114, MATCH(0,INDEX(COUNTIF($K$1:K36, Ingredients!$A$2:$A$114)+(COUNTIF(Ingredients!$A$2:$A$114, Ingredients!$A$2:$A$114)&lt;&gt;1),0,0), 0)), "")</f>
        <v>Dried Mango</v>
      </c>
    </row>
    <row r="38" spans="1:11" x14ac:dyDescent="0.25">
      <c r="A38" s="20"/>
      <c r="B38" s="1" t="s">
        <v>28</v>
      </c>
      <c r="C38" s="1">
        <v>1</v>
      </c>
      <c r="D38" s="1" t="str">
        <f>VLOOKUP(B38,Ingredients!$A$2:$G$229,5,FALSE)</f>
        <v>tablespoon</v>
      </c>
      <c r="E38" s="1">
        <f>VLOOKUP(B38,Ingredients!$A$2:$G$229,6,FALSE)*C38</f>
        <v>14</v>
      </c>
      <c r="F38" s="1">
        <f>IFERROR(VLOOKUP(B38,Ingredients!$A$2:$H$229,7,FALSE),0)*C38</f>
        <v>120</v>
      </c>
      <c r="G38" s="7">
        <f t="shared" si="4"/>
        <v>0</v>
      </c>
      <c r="I38" s="32"/>
      <c r="J38" s="14" t="str">
        <f>IFERROR(INDEX($A$2:$A$192, MATCH(0,INDEX(COUNTIF($J$1:J37, $A$2:$A$192)+(COUNTIF($A$2:$A$192, $A$2:$A$192)&lt;&gt;1),0,0), 0)), "")</f>
        <v/>
      </c>
      <c r="K38" s="14" t="str">
        <f>IFERROR(INDEX(Ingredients!$A$2:$A$114, MATCH(0,INDEX(COUNTIF($K$1:K37, Ingredients!$A$2:$A$114)+(COUNTIF(Ingredients!$A$2:$A$114, Ingredients!$A$2:$A$114)&lt;&gt;1),0,0), 0)), "")</f>
        <v>Nothing/ Zero</v>
      </c>
    </row>
    <row r="39" spans="1:11" x14ac:dyDescent="0.25">
      <c r="A39" s="20"/>
      <c r="B39" s="1" t="s">
        <v>30</v>
      </c>
      <c r="C39" s="1">
        <v>0.5</v>
      </c>
      <c r="D39" s="1" t="str">
        <f>VLOOKUP(B39,Ingredients!$A$2:$G$229,5,FALSE)</f>
        <v>package</v>
      </c>
      <c r="E39" s="1">
        <f>VLOOKUP(B39,Ingredients!$A$2:$G$229,6,FALSE)*C39</f>
        <v>0</v>
      </c>
      <c r="F39" s="1">
        <f>IFERROR(VLOOKUP(B39,Ingredients!$A$2:$H$229,7,FALSE),0)*C39</f>
        <v>70</v>
      </c>
      <c r="G39" s="7">
        <f t="shared" si="4"/>
        <v>0</v>
      </c>
      <c r="I39" s="32"/>
      <c r="J39" s="14" t="str">
        <f>IFERROR(INDEX($A$2:$A$192, MATCH(0,INDEX(COUNTIF($J$1:J38, $A$2:$A$192)+(COUNTIF($A$2:$A$192, $A$2:$A$192)&lt;&gt;1),0,0), 0)), "")</f>
        <v/>
      </c>
      <c r="K39" s="14" t="str">
        <f>IFERROR(INDEX(Ingredients!$A$2:$A$114, MATCH(0,INDEX(COUNTIF($K$1:K38, Ingredients!$A$2:$A$114)+(COUNTIF(Ingredients!$A$2:$A$114, Ingredients!$A$2:$A$114)&lt;&gt;1),0,0), 0)), "")</f>
        <v>Gummy Bears</v>
      </c>
    </row>
    <row r="40" spans="1:11" x14ac:dyDescent="0.25">
      <c r="A40" s="58"/>
      <c r="B40" s="56"/>
      <c r="C40" s="1"/>
      <c r="D40" s="1"/>
      <c r="E40" s="1"/>
      <c r="F40" s="1"/>
      <c r="G40" s="59"/>
      <c r="I40" s="32"/>
      <c r="J40" s="14" t="str">
        <f>IFERROR(INDEX($A$2:$A$192, MATCH(0,INDEX(COUNTIF($J$1:J39, $A$2:$A$192)+(COUNTIF($A$2:$A$192, $A$2:$A$192)&lt;&gt;1),0,0), 0)), "")</f>
        <v/>
      </c>
      <c r="K40" s="14" t="str">
        <f>IFERROR(INDEX(Ingredients!$A$2:$A$114, MATCH(0,INDEX(COUNTIF($K$1:K39, Ingredients!$A$2:$A$114)+(COUNTIF(Ingredients!$A$2:$A$114, Ingredients!$A$2:$A$114)&lt;&gt;1),0,0), 0)), "")</f>
        <v>Dehydrated Chicken</v>
      </c>
    </row>
    <row r="41" spans="1:11" x14ac:dyDescent="0.25">
      <c r="A41" s="69" t="s">
        <v>142</v>
      </c>
      <c r="B41" s="70"/>
      <c r="C41" s="4">
        <v>1</v>
      </c>
      <c r="D41" s="4" t="s">
        <v>137</v>
      </c>
      <c r="E41" s="4">
        <f>SUM(E42:E43)</f>
        <v>30</v>
      </c>
      <c r="F41" s="4">
        <f>SUM(F42:F43)</f>
        <v>270</v>
      </c>
      <c r="G41" s="30">
        <f>SUM(SUMIF(Meals!C:C,A41,Meals!H:H),SUMIF(Meals!K:K,A41,Meals!P:P))</f>
        <v>0</v>
      </c>
      <c r="I41" s="32"/>
      <c r="J41" s="14" t="str">
        <f>IFERROR(INDEX($A$2:$A$192, MATCH(0,INDEX(COUNTIF($J$1:J40, $A$2:$A$192)+(COUNTIF($A$2:$A$192, $A$2:$A$192)&lt;&gt;1),0,0), 0)), "")</f>
        <v/>
      </c>
      <c r="K41" s="14" t="str">
        <f>IFERROR(INDEX(Ingredients!$A$2:$A$114, MATCH(0,INDEX(COUNTIF($K$1:K40, Ingredients!$A$2:$A$114)+(COUNTIF(Ingredients!$A$2:$A$114, Ingredients!$A$2:$A$114)&lt;&gt;1),0,0), 0)), "")</f>
        <v>Dehydrated Beef</v>
      </c>
    </row>
    <row r="42" spans="1:11" x14ac:dyDescent="0.25">
      <c r="A42" s="20"/>
      <c r="B42" s="1" t="s">
        <v>45</v>
      </c>
      <c r="C42" s="2">
        <v>1</v>
      </c>
      <c r="D42" s="1" t="str">
        <f>VLOOKUP(B42,Ingredients!$A$2:$G$229,5,FALSE)</f>
        <v>piece</v>
      </c>
      <c r="E42" s="1">
        <f>VLOOKUP(B42,Ingredients!$A$2:$G$229,6,FALSE)*C42</f>
        <v>0</v>
      </c>
      <c r="F42" s="1">
        <f>IFERROR(VLOOKUP(B42,Ingredients!$A$2:$H$229,7,FALSE),0)*C42</f>
        <v>90</v>
      </c>
      <c r="G42" s="7">
        <f>$G$41*C42</f>
        <v>0</v>
      </c>
      <c r="I42" s="32"/>
      <c r="J42" s="14" t="str">
        <f>IFERROR(INDEX($A$2:$A$192, MATCH(0,INDEX(COUNTIF($J$1:J41, $A$2:$A$192)+(COUNTIF($A$2:$A$192, $A$2:$A$192)&lt;&gt;1),0,0), 0)), "")</f>
        <v/>
      </c>
      <c r="K42" s="14" t="str">
        <f>IFERROR(INDEX(Ingredients!$A$2:$A$114, MATCH(0,INDEX(COUNTIF($K$1:K41, Ingredients!$A$2:$A$114)+(COUNTIF(Ingredients!$A$2:$A$114, Ingredients!$A$2:$A$114)&lt;&gt;1),0,0), 0)), "")</f>
        <v>Alpine Aire Guacamole and Chips</v>
      </c>
    </row>
    <row r="43" spans="1:11" x14ac:dyDescent="0.25">
      <c r="A43" s="20"/>
      <c r="B43" s="1" t="s">
        <v>47</v>
      </c>
      <c r="C43" s="2">
        <v>2</v>
      </c>
      <c r="D43" s="1" t="str">
        <f>VLOOKUP(B43,Ingredients!$A$2:$G$229,5,FALSE)</f>
        <v>tablespoon</v>
      </c>
      <c r="E43" s="1">
        <f>VLOOKUP(B43,Ingredients!$A$2:$G$229,6,FALSE)*C43</f>
        <v>30</v>
      </c>
      <c r="F43" s="1">
        <f>IFERROR(VLOOKUP(B43,Ingredients!$A$2:$H$229,7,FALSE),0)*C43</f>
        <v>180</v>
      </c>
      <c r="G43" s="7">
        <f>$G$41*C43</f>
        <v>0</v>
      </c>
      <c r="I43" s="32"/>
      <c r="J43" s="14" t="str">
        <f>IFERROR(INDEX($A$2:$A$192, MATCH(0,INDEX(COUNTIF($J$1:J42, $A$2:$A$192)+(COUNTIF($A$2:$A$192, $A$2:$A$192)&lt;&gt;1),0,0), 0)), "")</f>
        <v/>
      </c>
      <c r="K43" s="14" t="str">
        <f>IFERROR(INDEX(Ingredients!$A$2:$A$114, MATCH(0,INDEX(COUNTIF($K$1:K42, Ingredients!$A$2:$A$114)+(COUNTIF(Ingredients!$A$2:$A$114, Ingredients!$A$2:$A$114)&lt;&gt;1),0,0), 0)), "")</f>
        <v>Garlic Powder</v>
      </c>
    </row>
    <row r="44" spans="1:11" x14ac:dyDescent="0.25">
      <c r="A44" s="58"/>
      <c r="B44" s="56"/>
      <c r="C44" s="1"/>
      <c r="D44" s="1"/>
      <c r="E44" s="1"/>
      <c r="F44" s="1"/>
      <c r="G44" s="59"/>
      <c r="J44" s="14" t="str">
        <f>IFERROR(INDEX($A$2:$A$192, MATCH(0,INDEX(COUNTIF($J$1:J43, $A$2:$A$192)+(COUNTIF($A$2:$A$192, $A$2:$A$192)&lt;&gt;1),0,0), 0)), "")</f>
        <v/>
      </c>
      <c r="K44" s="14" t="str">
        <f>IFERROR(INDEX(Ingredients!$A$2:$A$114, MATCH(0,INDEX(COUNTIF($K$1:K43, Ingredients!$A$2:$A$114)+(COUNTIF(Ingredients!$A$2:$A$114, Ingredients!$A$2:$A$114)&lt;&gt;1),0,0), 0)), "")</f>
        <v>Protein Granola Bar</v>
      </c>
    </row>
    <row r="45" spans="1:11" x14ac:dyDescent="0.25">
      <c r="A45" s="69" t="s">
        <v>143</v>
      </c>
      <c r="B45" s="70"/>
      <c r="C45" s="4">
        <v>1</v>
      </c>
      <c r="D45" s="4" t="s">
        <v>137</v>
      </c>
      <c r="E45" s="4">
        <f>SUM(E46)</f>
        <v>200</v>
      </c>
      <c r="F45" s="4">
        <f>SUM(F46)</f>
        <v>852</v>
      </c>
      <c r="G45" s="30">
        <f>SUM(SUMIF(Meals!C:C,A45,Meals!H:H),SUMIF(Meals!K:K,A45,Meals!P:P))</f>
        <v>24.5</v>
      </c>
      <c r="J45" s="14" t="str">
        <f>IFERROR(INDEX($A$2:$A$192, MATCH(0,INDEX(COUNTIF($J$1:J44, $A$2:$A$192)+(COUNTIF($A$2:$A$192, $A$2:$A$192)&lt;&gt;1),0,0), 0)), "")</f>
        <v/>
      </c>
      <c r="K45" s="14" t="str">
        <f>IFERROR(INDEX(Ingredients!$A$2:$A$114, MATCH(0,INDEX(COUNTIF($K$1:K44, Ingredients!$A$2:$A$114)+(COUNTIF(Ingredients!$A$2:$A$114, Ingredients!$A$2:$A$114)&lt;&gt;1),0,0), 0)), "")</f>
        <v>Corn Chips (Fritos)</v>
      </c>
    </row>
    <row r="46" spans="1:11" x14ac:dyDescent="0.25">
      <c r="A46" s="20"/>
      <c r="B46" s="1" t="s">
        <v>51</v>
      </c>
      <c r="C46" s="2">
        <v>2</v>
      </c>
      <c r="D46" s="1" t="str">
        <f>VLOOKUP(B46,Ingredients!$A$2:$G$229,5,FALSE)</f>
        <v>piece</v>
      </c>
      <c r="E46" s="1">
        <f>VLOOKUP(B46,Ingredients!$A$2:$G$229,6,FALSE)*C46</f>
        <v>200</v>
      </c>
      <c r="F46" s="1">
        <f>IFERROR(VLOOKUP(B46,Ingredients!$A$2:$H$229,7,FALSE),0)*C46</f>
        <v>852</v>
      </c>
      <c r="G46" s="7">
        <f>$G$45*C46</f>
        <v>49</v>
      </c>
      <c r="J46" s="14" t="str">
        <f>IFERROR(INDEX($A$2:$A$192, MATCH(0,INDEX(COUNTIF($J$1:J45, $A$2:$A$192)+(COUNTIF($A$2:$A$192, $A$2:$A$192)&lt;&gt;1),0,0), 0)), "")</f>
        <v/>
      </c>
      <c r="K46" s="14" t="str">
        <f>IFERROR(INDEX(Ingredients!$A$2:$A$114, MATCH(0,INDEX(COUNTIF($K$1:K45, Ingredients!$A$2:$A$114)+(COUNTIF(Ingredients!$A$2:$A$114, Ingredients!$A$2:$A$114)&lt;&gt;1),0,0), 0)), "")</f>
        <v>Sun Dried Tomatos</v>
      </c>
    </row>
    <row r="47" spans="1:11" x14ac:dyDescent="0.25">
      <c r="A47" s="69" t="s">
        <v>144</v>
      </c>
      <c r="B47" s="70"/>
      <c r="C47" s="4">
        <v>1</v>
      </c>
      <c r="D47" s="4" t="s">
        <v>137</v>
      </c>
      <c r="E47" s="4">
        <f>SUM(E48:E49)</f>
        <v>125</v>
      </c>
      <c r="F47" s="4">
        <f>SUM(F48:F49)</f>
        <v>370</v>
      </c>
      <c r="G47" s="30">
        <f>SUM(SUMIF(Meals!C:C,A47,Meals!H:H),SUMIF(Meals!K:K,A47,Meals!P:P))</f>
        <v>17.5</v>
      </c>
      <c r="J47" s="14" t="str">
        <f>IFERROR(INDEX($A$2:$A$192, MATCH(0,INDEX(COUNTIF($J$1:J46, $A$2:$A$192)+(COUNTIF($A$2:$A$192, $A$2:$A$192)&lt;&gt;1),0,0), 0)), "")</f>
        <v/>
      </c>
      <c r="K47" s="14" t="str">
        <f>IFERROR(INDEX(Ingredients!$A$2:$A$114, MATCH(0,INDEX(COUNTIF($K$1:K46, Ingredients!$A$2:$A$114)+(COUNTIF(Ingredients!$A$2:$A$114, Ingredients!$A$2:$A$114)&lt;&gt;1),0,0), 0)), "")</f>
        <v>Bean Dip</v>
      </c>
    </row>
    <row r="48" spans="1:11" x14ac:dyDescent="0.25">
      <c r="A48" s="20"/>
      <c r="B48" s="1" t="s">
        <v>20</v>
      </c>
      <c r="C48" s="2">
        <v>1</v>
      </c>
      <c r="D48" s="1" t="str">
        <f>VLOOKUP(B48,Ingredients!$A$2:$G$229,5,FALSE)</f>
        <v>package</v>
      </c>
      <c r="E48" s="1">
        <f>VLOOKUP(B48,Ingredients!$A$2:$G$229,6,FALSE)*C48</f>
        <v>85</v>
      </c>
      <c r="F48" s="1">
        <f>IFERROR(VLOOKUP(B48,Ingredients!$A$2:$H$229,7,FALSE),0)*C48</f>
        <v>90</v>
      </c>
      <c r="G48" s="7">
        <f>$G$47*C48</f>
        <v>17.5</v>
      </c>
      <c r="J48" s="14" t="str">
        <f>IFERROR(INDEX($A$2:$A$192, MATCH(0,INDEX(COUNTIF($J$1:J47, $A$2:$A$192)+(COUNTIF($A$2:$A$192, $A$2:$A$192)&lt;&gt;1),0,0), 0)), "")</f>
        <v/>
      </c>
      <c r="K48" s="14" t="str">
        <f>IFERROR(INDEX(Ingredients!$A$2:$A$114, MATCH(0,INDEX(COUNTIF($K$1:K47, Ingredients!$A$2:$A$114)+(COUNTIF(Ingredients!$A$2:$A$114, Ingredients!$A$2:$A$114)&lt;&gt;1),0,0), 0)), "")</f>
        <v>Foil Packed Corned Beef</v>
      </c>
    </row>
    <row r="49" spans="1:11" x14ac:dyDescent="0.25">
      <c r="A49" s="58"/>
      <c r="B49" s="56" t="s">
        <v>113</v>
      </c>
      <c r="C49" s="1">
        <v>4</v>
      </c>
      <c r="D49" s="1" t="str">
        <f>VLOOKUP(B49,Ingredients!$A$2:$G$229,5,FALSE)</f>
        <v>packet</v>
      </c>
      <c r="E49" s="1">
        <f>VLOOKUP(B49,Ingredients!$A$2:$G$229,6,FALSE)*C49</f>
        <v>40</v>
      </c>
      <c r="F49" s="1">
        <f>IFERROR(VLOOKUP(B49,Ingredients!$A$2:$H$229,7,FALSE),0)*C49</f>
        <v>280</v>
      </c>
      <c r="G49" s="7">
        <f>$G$47*C49</f>
        <v>70</v>
      </c>
      <c r="J49" s="14" t="str">
        <f>IFERROR(INDEX($A$2:$A$192, MATCH(0,INDEX(COUNTIF($J$1:J48, $A$2:$A$192)+(COUNTIF($A$2:$A$192, $A$2:$A$192)&lt;&gt;1),0,0), 0)), "")</f>
        <v/>
      </c>
      <c r="K49" s="14" t="str">
        <f>IFERROR(INDEX(Ingredients!$A$2:$A$114, MATCH(0,INDEX(COUNTIF($K$1:K48, Ingredients!$A$2:$A$114)+(COUNTIF(Ingredients!$A$2:$A$114, Ingredients!$A$2:$A$114)&lt;&gt;1),0,0), 0)), "")</f>
        <v>Hersheys Almond Bar</v>
      </c>
    </row>
    <row r="50" spans="1:11" x14ac:dyDescent="0.25">
      <c r="A50" s="69" t="s">
        <v>145</v>
      </c>
      <c r="B50" s="70"/>
      <c r="C50" s="4">
        <v>1</v>
      </c>
      <c r="D50" s="4" t="s">
        <v>137</v>
      </c>
      <c r="E50" s="4">
        <f>SUM(E51:E52)</f>
        <v>0</v>
      </c>
      <c r="F50" s="4">
        <f>SUM(F51:F52)</f>
        <v>631</v>
      </c>
      <c r="G50" s="30">
        <f>SUM(SUMIF(Meals!C:C,A50,Meals!H:H),SUMIF(Meals!K:K,A50,Meals!P:P))</f>
        <v>0</v>
      </c>
      <c r="J50" s="14" t="str">
        <f>IFERROR(INDEX($A$2:$A$192, MATCH(0,INDEX(COUNTIF($J$1:J49, $A$2:$A$192)+(COUNTIF($A$2:$A$192, $A$2:$A$192)&lt;&gt;1),0,0), 0)), "")</f>
        <v/>
      </c>
      <c r="K50" s="14" t="str">
        <f>IFERROR(INDEX(Ingredients!$A$2:$A$114, MATCH(0,INDEX(COUNTIF($K$1:K49, Ingredients!$A$2:$A$114)+(COUNTIF(Ingredients!$A$2:$A$114, Ingredients!$A$2:$A$114)&lt;&gt;1),0,0), 0)), "")</f>
        <v>Starbucks Via</v>
      </c>
    </row>
    <row r="51" spans="1:11" x14ac:dyDescent="0.25">
      <c r="A51" s="20"/>
      <c r="B51" s="1" t="s">
        <v>57</v>
      </c>
      <c r="C51" s="2">
        <v>2</v>
      </c>
      <c r="D51" s="1" t="str">
        <f>VLOOKUP(B51,Ingredients!$A$2:$G$229,5,FALSE)</f>
        <v>cup</v>
      </c>
      <c r="E51" s="1">
        <f>VLOOKUP(B51,Ingredients!$A$2:$G$229,6,FALSE)*C51</f>
        <v>0</v>
      </c>
      <c r="F51" s="1">
        <f>IFERROR(VLOOKUP(B51,Ingredients!$A$2:$H$229,7,FALSE),0)*C51</f>
        <v>586</v>
      </c>
      <c r="G51" s="7">
        <f>$G$50*C51</f>
        <v>0</v>
      </c>
      <c r="J51" s="14" t="str">
        <f>IFERROR(INDEX($A$2:$A$192, MATCH(0,INDEX(COUNTIF($J$1:J50, $A$2:$A$192)+(COUNTIF($A$2:$A$192, $A$2:$A$192)&lt;&gt;1),0,0), 0)), "")</f>
        <v/>
      </c>
      <c r="K51" s="14" t="str">
        <f>IFERROR(INDEX(Ingredients!$A$2:$A$114, MATCH(0,INDEX(COUNTIF($K$1:K50, Ingredients!$A$2:$A$114)+(COUNTIF(Ingredients!$A$2:$A$114, Ingredients!$A$2:$A$114)&lt;&gt;1),0,0), 0)), "")</f>
        <v>Taco Seasoning</v>
      </c>
    </row>
    <row r="52" spans="1:11" x14ac:dyDescent="0.25">
      <c r="A52" s="20"/>
      <c r="B52" s="1" t="s">
        <v>58</v>
      </c>
      <c r="C52" s="2">
        <v>2</v>
      </c>
      <c r="D52" s="1" t="str">
        <f>VLOOKUP(B52,Ingredients!$A$2:$G$229,5,FALSE)</f>
        <v>tablespoon</v>
      </c>
      <c r="E52" s="1">
        <f>VLOOKUP(B52,Ingredients!$A$2:$G$229,6,FALSE)*C52</f>
        <v>0</v>
      </c>
      <c r="F52" s="1">
        <f>IFERROR(VLOOKUP(B52,Ingredients!$A$2:$H$229,7,FALSE),0)*C52</f>
        <v>45</v>
      </c>
      <c r="G52" s="7">
        <f>$G$50*C52</f>
        <v>0</v>
      </c>
      <c r="J52" s="14" t="str">
        <f>IFERROR(INDEX($A$2:$A$192, MATCH(0,INDEX(COUNTIF($J$1:J51, $A$2:$A$192)+(COUNTIF($A$2:$A$192, $A$2:$A$192)&lt;&gt;1),0,0), 0)), "")</f>
        <v/>
      </c>
      <c r="K52" s="14" t="str">
        <f>IFERROR(INDEX(Ingredients!$A$2:$A$114, MATCH(0,INDEX(COUNTIF($K$1:K51, Ingredients!$A$2:$A$114)+(COUNTIF(Ingredients!$A$2:$A$114, Ingredients!$A$2:$A$114)&lt;&gt;1),0,0), 0)), "")</f>
        <v>General Spices (salt, pepper, etc)</v>
      </c>
    </row>
    <row r="53" spans="1:11" x14ac:dyDescent="0.25">
      <c r="A53" s="20"/>
      <c r="B53" s="1"/>
      <c r="C53" s="2"/>
      <c r="D53" s="1"/>
      <c r="E53" s="1"/>
      <c r="F53" s="1"/>
      <c r="G53" s="7"/>
      <c r="J53" s="14" t="str">
        <f>IFERROR(INDEX($A$2:$A$192, MATCH(0,INDEX(COUNTIF($J$1:J52, $A$2:$A$192)+(COUNTIF($A$2:$A$192, $A$2:$A$192)&lt;&gt;1),0,0), 0)), "")</f>
        <v/>
      </c>
      <c r="K53" s="14" t="str">
        <f>IFERROR(INDEX(Ingredients!$A$2:$A$114, MATCH(0,INDEX(COUNTIF($K$1:K52, Ingredients!$A$2:$A$114)+(COUNTIF(Ingredients!$A$2:$A$114, Ingredients!$A$2:$A$114)&lt;&gt;1),0,0), 0)), "")</f>
        <v>Dried Basil</v>
      </c>
    </row>
    <row r="54" spans="1:11" x14ac:dyDescent="0.25">
      <c r="A54" s="69" t="s">
        <v>146</v>
      </c>
      <c r="B54" s="70"/>
      <c r="C54" s="4">
        <v>1</v>
      </c>
      <c r="D54" s="4" t="s">
        <v>137</v>
      </c>
      <c r="E54" s="4">
        <f>SUM(E55:E57)</f>
        <v>111.6</v>
      </c>
      <c r="F54" s="4">
        <f>SUM(F55:F57)</f>
        <v>460</v>
      </c>
      <c r="G54" s="30">
        <f>SUM(SUMIF(Meals!C:C,A54,Meals!H:H),SUMIF(Meals!K:K,A54,Meals!P:P))</f>
        <v>28</v>
      </c>
      <c r="J54" s="14" t="str">
        <f>IFERROR(INDEX($A$2:$A$192, MATCH(0,INDEX(COUNTIF($J$1:J53, $A$2:$A$192)+(COUNTIF($A$2:$A$192, $A$2:$A$192)&lt;&gt;1),0,0), 0)), "")</f>
        <v/>
      </c>
      <c r="K54" s="14" t="str">
        <f>IFERROR(INDEX(Ingredients!$A$2:$A$114, MATCH(0,INDEX(COUNTIF($K$1:K53, Ingredients!$A$2:$A$114)+(COUNTIF(Ingredients!$A$2:$A$114, Ingredients!$A$2:$A$114)&lt;&gt;1),0,0), 0)), "")</f>
        <v>Cliff Bar</v>
      </c>
    </row>
    <row r="55" spans="1:11" x14ac:dyDescent="0.25">
      <c r="A55" s="20"/>
      <c r="B55" s="1" t="s">
        <v>111</v>
      </c>
      <c r="C55" s="2">
        <v>3</v>
      </c>
      <c r="D55" s="1" t="str">
        <f>VLOOKUP(B55,Ingredients!$A$2:$G$229,5,FALSE)</f>
        <v>bar</v>
      </c>
      <c r="E55" s="1">
        <f>VLOOKUP(B55,Ingredients!$A$2:$G$229,6,FALSE)*C55</f>
        <v>105</v>
      </c>
      <c r="F55" s="1">
        <f>IFERROR(VLOOKUP(B55,Ingredients!$A$2:$H$229,7,FALSE),0)*C55</f>
        <v>450</v>
      </c>
      <c r="G55" s="7">
        <f>$G$54*C55</f>
        <v>84</v>
      </c>
      <c r="J55" s="14" t="str">
        <f>IFERROR(INDEX($A$2:$A$192, MATCH(0,INDEX(COUNTIF($J$1:J54, $A$2:$A$192)+(COUNTIF($A$2:$A$192, $A$2:$A$192)&lt;&gt;1),0,0), 0)), "")</f>
        <v/>
      </c>
      <c r="K55" s="14" t="str">
        <f>IFERROR(INDEX(Ingredients!$A$2:$A$114, MATCH(0,INDEX(COUNTIF($K$1:K54, Ingredients!$A$2:$A$114)+(COUNTIF(Ingredients!$A$2:$A$114, Ingredients!$A$2:$A$114)&lt;&gt;1),0,0), 0)), "")</f>
        <v>Larabar</v>
      </c>
    </row>
    <row r="56" spans="1:11" x14ac:dyDescent="0.25">
      <c r="A56" s="20"/>
      <c r="B56" s="1" t="s">
        <v>62</v>
      </c>
      <c r="C56" s="2">
        <v>0</v>
      </c>
      <c r="D56" s="1" t="str">
        <f>VLOOKUP(B56,Ingredients!$A$2:$G$229,5,FALSE)</f>
        <v>bar</v>
      </c>
      <c r="E56" s="1">
        <f>VLOOKUP(B56,Ingredients!$A$2:$G$229,6,FALSE)*C56</f>
        <v>0</v>
      </c>
      <c r="F56" s="1">
        <f>IFERROR(VLOOKUP(B56,Ingredients!$A$2:$H$229,7,FALSE),0)*C56</f>
        <v>0</v>
      </c>
      <c r="G56" s="7">
        <f>$G$54*C56</f>
        <v>0</v>
      </c>
      <c r="J56" s="14"/>
      <c r="K56" s="14"/>
    </row>
    <row r="57" spans="1:11" x14ac:dyDescent="0.25">
      <c r="A57" s="20"/>
      <c r="B57" s="1" t="s">
        <v>94</v>
      </c>
      <c r="C57" s="2">
        <v>2</v>
      </c>
      <c r="D57" s="1" t="str">
        <f>VLOOKUP(B57,Ingredients!$A$2:$G$229,5,FALSE)</f>
        <v>package</v>
      </c>
      <c r="E57" s="1">
        <f>VLOOKUP(B57,Ingredients!$A$2:$G$229,6,FALSE)*C57</f>
        <v>6.6</v>
      </c>
      <c r="F57" s="1">
        <f>IFERROR(VLOOKUP(B57,Ingredients!$A$2:$H$229,7,FALSE),0)*C57</f>
        <v>10</v>
      </c>
      <c r="G57" s="7">
        <f>$G$54*C57</f>
        <v>56</v>
      </c>
      <c r="J57" s="14" t="str">
        <f>IFERROR(INDEX($A$2:$A$192, MATCH(0,INDEX(COUNTIF($J$1:J55, $A$2:$A$192)+(COUNTIF($A$2:$A$192, $A$2:$A$192)&lt;&gt;1),0,0), 0)), "")</f>
        <v/>
      </c>
      <c r="K57" s="14" t="str">
        <f>IFERROR(INDEX(Ingredients!$A$2:$A$114, MATCH(0,INDEX(COUNTIF($K$1:K55, Ingredients!$A$2:$A$114)+(COUNTIF(Ingredients!$A$2:$A$114, Ingredients!$A$2:$A$114)&lt;&gt;1),0,0), 0)), "")</f>
        <v>Kind Bar</v>
      </c>
    </row>
    <row r="58" spans="1:11" x14ac:dyDescent="0.25">
      <c r="A58" s="69" t="s">
        <v>147</v>
      </c>
      <c r="B58" s="70"/>
      <c r="C58" s="4">
        <v>1</v>
      </c>
      <c r="D58" s="4" t="s">
        <v>137</v>
      </c>
      <c r="E58" s="4">
        <f>SUM(E59:E60)</f>
        <v>126.6</v>
      </c>
      <c r="F58" s="4">
        <f>SUM(F59:F60)</f>
        <v>610</v>
      </c>
      <c r="G58" s="30">
        <f>SUM(SUMIF(Meals!C:C,A58,Meals!H:H),SUMIF(Meals!K:K,A58,Meals!P:P))</f>
        <v>10</v>
      </c>
      <c r="J58" s="14" t="str">
        <f>IFERROR(INDEX($A$2:$A$192, MATCH(0,INDEX(COUNTIF($J$1:J57, $A$2:$A$192)+(COUNTIF($A$2:$A$192, $A$2:$A$192)&lt;&gt;1),0,0), 0)), "")</f>
        <v/>
      </c>
      <c r="K58" s="14" t="str">
        <f>IFERROR(INDEX(Ingredients!$A$2:$A$114, MATCH(0,INDEX(COUNTIF($K$1:K57, Ingredients!$A$2:$A$114)+(COUNTIF(Ingredients!$A$2:$A$114, Ingredients!$A$2:$A$114)&lt;&gt;1),0,0), 0)), "")</f>
        <v>Natures Path Sunrise</v>
      </c>
    </row>
    <row r="59" spans="1:11" x14ac:dyDescent="0.25">
      <c r="A59" s="20"/>
      <c r="B59" s="1" t="s">
        <v>102</v>
      </c>
      <c r="C59" s="2">
        <v>3</v>
      </c>
      <c r="D59" s="1" t="str">
        <f>VLOOKUP(B59,Ingredients!$A$2:$G$229,5,FALSE)</f>
        <v>bar</v>
      </c>
      <c r="E59" s="1">
        <f>VLOOKUP(B59,Ingredients!$A$2:$G$229,6,FALSE)*C59</f>
        <v>120</v>
      </c>
      <c r="F59" s="1">
        <f>IFERROR(VLOOKUP(B59,Ingredients!$A$2:$H$229,7,FALSE),0)*C59</f>
        <v>600</v>
      </c>
      <c r="G59" s="7">
        <f>$G$58*C59</f>
        <v>30</v>
      </c>
      <c r="J59" s="14" t="str">
        <f>IFERROR(INDEX($A$2:$A$192, MATCH(0,INDEX(COUNTIF($J$1:J58, $A$2:$A$192)+(COUNTIF($A$2:$A$192, $A$2:$A$192)&lt;&gt;1),0,0), 0)), "")</f>
        <v/>
      </c>
      <c r="K59" s="14" t="str">
        <f>IFERROR(INDEX(Ingredients!$A$2:$A$114, MATCH(0,INDEX(COUNTIF($K$1:K58, Ingredients!$A$2:$A$114)+(COUNTIF(Ingredients!$A$2:$A$114, Ingredients!$A$2:$A$114)&lt;&gt;1),0,0), 0)), "")</f>
        <v>Pop Tarts</v>
      </c>
    </row>
    <row r="60" spans="1:11" x14ac:dyDescent="0.25">
      <c r="A60" s="20"/>
      <c r="B60" s="1" t="s">
        <v>94</v>
      </c>
      <c r="C60" s="2">
        <v>2</v>
      </c>
      <c r="D60" s="1" t="str">
        <f>VLOOKUP(B60,Ingredients!$A$2:$G$229,5,FALSE)</f>
        <v>package</v>
      </c>
      <c r="E60" s="1">
        <f>VLOOKUP(B60,Ingredients!$A$2:$G$229,6,FALSE)*C60</f>
        <v>6.6</v>
      </c>
      <c r="F60" s="1">
        <f>IFERROR(VLOOKUP(B60,Ingredients!$A$2:$H$229,7,FALSE),0)*C60</f>
        <v>10</v>
      </c>
      <c r="G60" s="7">
        <f>$G$58*C60</f>
        <v>20</v>
      </c>
      <c r="J60" s="14" t="str">
        <f>IFERROR(INDEX($A$2:$A$192, MATCH(0,INDEX(COUNTIF($J$1:J59, $A$2:$A$192)+(COUNTIF($A$2:$A$192, $A$2:$A$192)&lt;&gt;1),0,0), 0)), "")</f>
        <v/>
      </c>
      <c r="K60" s="14" t="str">
        <f>IFERROR(INDEX(Ingredients!$A$2:$A$114, MATCH(0,INDEX(COUNTIF($K$1:K59, Ingredients!$A$2:$A$114)+(COUNTIF(Ingredients!$A$2:$A$114, Ingredients!$A$2:$A$114)&lt;&gt;1),0,0), 0)), "")</f>
        <v>Gatorade</v>
      </c>
    </row>
    <row r="61" spans="1:11" x14ac:dyDescent="0.25">
      <c r="A61" s="69" t="s">
        <v>148</v>
      </c>
      <c r="B61" s="70"/>
      <c r="C61" s="4">
        <v>1</v>
      </c>
      <c r="D61" s="4" t="s">
        <v>137</v>
      </c>
      <c r="E61" s="4">
        <f>SUM(E62:E63)</f>
        <v>141.6</v>
      </c>
      <c r="F61" s="4">
        <f>SUM(F62:F63)</f>
        <v>640</v>
      </c>
      <c r="G61" s="30">
        <f>SUM(SUMIF(Meals!C:C,A61,Meals!H:H),SUMIF(Meals!K:K,A61,Meals!P:P))</f>
        <v>9</v>
      </c>
      <c r="J61" s="14" t="str">
        <f>IFERROR(INDEX($A$2:$A$192, MATCH(0,INDEX(COUNTIF($J$1:J60, $A$2:$A$192)+(COUNTIF($A$2:$A$192, $A$2:$A$192)&lt;&gt;1),0,0), 0)), "")</f>
        <v/>
      </c>
      <c r="K61" s="14" t="str">
        <f>IFERROR(INDEX(Ingredients!$A$2:$A$114, MATCH(0,INDEX(COUNTIF($K$1:K60, Ingredients!$A$2:$A$114)+(COUNTIF(Ingredients!$A$2:$A$114, Ingredients!$A$2:$A$114)&lt;&gt;1),0,0), 0)), "")</f>
        <v>Carnation Breakfast Drink</v>
      </c>
    </row>
    <row r="62" spans="1:11" x14ac:dyDescent="0.25">
      <c r="A62" s="20"/>
      <c r="B62" s="1" t="s">
        <v>101</v>
      </c>
      <c r="C62" s="2">
        <v>3</v>
      </c>
      <c r="D62" s="1" t="str">
        <f>VLOOKUP(B62,Ingredients!$A$2:$G$229,5,FALSE)</f>
        <v>bar</v>
      </c>
      <c r="E62" s="1">
        <f>VLOOKUP(B62,Ingredients!$A$2:$G$229,6,FALSE)*C62</f>
        <v>135</v>
      </c>
      <c r="F62" s="1">
        <f>IFERROR(VLOOKUP(B62,Ingredients!$A$2:$H$229,7,FALSE),0)*C62</f>
        <v>630</v>
      </c>
      <c r="G62" s="7">
        <f>$G$61*C62</f>
        <v>27</v>
      </c>
      <c r="J62" s="14" t="str">
        <f>IFERROR(INDEX($A$2:$A$192, MATCH(0,INDEX(COUNTIF($J$1:J61, $A$2:$A$192)+(COUNTIF($A$2:$A$192, $A$2:$A$192)&lt;&gt;1),0,0), 0)), "")</f>
        <v/>
      </c>
      <c r="K62" s="14" t="str">
        <f>IFERROR(INDEX(Ingredients!$A$2:$A$114, MATCH(0,INDEX(COUNTIF($K$1:K61, Ingredients!$A$2:$A$114)+(COUNTIF(Ingredients!$A$2:$A$114, Ingredients!$A$2:$A$114)&lt;&gt;1),0,0), 0)), "")</f>
        <v>Baby Food Pouch</v>
      </c>
    </row>
    <row r="63" spans="1:11" x14ac:dyDescent="0.25">
      <c r="A63" s="20"/>
      <c r="B63" s="1" t="s">
        <v>94</v>
      </c>
      <c r="C63" s="2">
        <v>2</v>
      </c>
      <c r="D63" s="1" t="str">
        <f>VLOOKUP(B63,Ingredients!$A$2:$G$229,5,FALSE)</f>
        <v>package</v>
      </c>
      <c r="E63" s="1">
        <f>VLOOKUP(B63,Ingredients!$A$2:$G$229,6,FALSE)*C63</f>
        <v>6.6</v>
      </c>
      <c r="F63" s="1">
        <f>IFERROR(VLOOKUP(B63,Ingredients!$A$2:$H$229,7,FALSE),0)*C63</f>
        <v>10</v>
      </c>
      <c r="G63" s="7">
        <f>$G$61*C63</f>
        <v>18</v>
      </c>
      <c r="J63" s="14" t="str">
        <f>IFERROR(INDEX($A$2:$A$192, MATCH(0,INDEX(COUNTIF($J$1:J62, $A$2:$A$192)+(COUNTIF($A$2:$A$192, $A$2:$A$192)&lt;&gt;1),0,0), 0)), "")</f>
        <v/>
      </c>
      <c r="K63" s="14" t="str">
        <f>IFERROR(INDEX(Ingredients!$A$2:$A$114, MATCH(0,INDEX(COUNTIF($K$1:K62, Ingredients!$A$2:$A$114)+(COUNTIF(Ingredients!$A$2:$A$114, Ingredients!$A$2:$A$114)&lt;&gt;1),0,0), 0)), "")</f>
        <v>Kind Breakfast Bar</v>
      </c>
    </row>
    <row r="64" spans="1:11" x14ac:dyDescent="0.25">
      <c r="A64" s="69" t="s">
        <v>149</v>
      </c>
      <c r="B64" s="70"/>
      <c r="C64" s="4">
        <v>1</v>
      </c>
      <c r="D64" s="4" t="s">
        <v>137</v>
      </c>
      <c r="E64" s="4">
        <f>SUM(E65:E67)</f>
        <v>184</v>
      </c>
      <c r="F64" s="4">
        <f>SUM(F65:F67)</f>
        <v>950</v>
      </c>
      <c r="G64" s="30">
        <f>SUM(SUMIF(Meals!C:C,A64,Meals!H:H),SUMIF(Meals!K:K,A64,Meals!P:P))</f>
        <v>47</v>
      </c>
      <c r="J64" s="14" t="str">
        <f>IFERROR(INDEX($A$2:$A$192, MATCH(0,INDEX(COUNTIF($J$1:J63, $A$2:$A$192)+(COUNTIF($A$2:$A$192, $A$2:$A$192)&lt;&gt;1),0,0), 0)), "")</f>
        <v/>
      </c>
      <c r="K64" s="14" t="str">
        <f>IFERROR(INDEX(Ingredients!$A$2:$A$114, MATCH(0,INDEX(COUNTIF($K$1:K63, Ingredients!$A$2:$A$114)+(COUNTIF(Ingredients!$A$2:$A$114, Ingredients!$A$2:$A$114)&lt;&gt;1),0,0), 0)), "")</f>
        <v>Mayonnaise Packet</v>
      </c>
    </row>
    <row r="65" spans="1:11" x14ac:dyDescent="0.25">
      <c r="A65" s="20"/>
      <c r="B65" s="1" t="s">
        <v>62</v>
      </c>
      <c r="C65" s="2">
        <v>1</v>
      </c>
      <c r="D65" s="1" t="str">
        <f>VLOOKUP(B65,Ingredients!$A$2:$G$229,5,FALSE)</f>
        <v>bar</v>
      </c>
      <c r="E65" s="1">
        <f>VLOOKUP(B65,Ingredients!$A$2:$G$229,6,FALSE)*C65</f>
        <v>52</v>
      </c>
      <c r="F65" s="1">
        <f>IFERROR(VLOOKUP(B65,Ingredients!$A$2:$H$229,7,FALSE),0)*C65</f>
        <v>250</v>
      </c>
      <c r="G65" s="7">
        <f>$G$64*C65</f>
        <v>47</v>
      </c>
      <c r="J65" s="14" t="str">
        <f>IFERROR(INDEX($A$2:$A$192, MATCH(0,INDEX(COUNTIF($J$1:J64, $A$2:$A$192)+(COUNTIF($A$2:$A$192, $A$2:$A$192)&lt;&gt;1),0,0), 0)), "")</f>
        <v/>
      </c>
      <c r="K65" s="14" t="str">
        <f>IFERROR(INDEX(Ingredients!$A$2:$A$114, MATCH(0,INDEX(COUNTIF($K$1:K64, Ingredients!$A$2:$A$114)+(COUNTIF(Ingredients!$A$2:$A$114, Ingredients!$A$2:$A$114)&lt;&gt;1),0,0), 0)), "")</f>
        <v>ProBar Base/Core Bar</v>
      </c>
    </row>
    <row r="66" spans="1:11" x14ac:dyDescent="0.25">
      <c r="A66" s="20"/>
      <c r="B66" s="1" t="s">
        <v>116</v>
      </c>
      <c r="C66" s="2">
        <v>1</v>
      </c>
      <c r="D66" s="1" t="str">
        <f>VLOOKUP(B66,Ingredients!$A$2:$G$229,5,FALSE)</f>
        <v>Package of 3 cups</v>
      </c>
      <c r="E66" s="1">
        <f>VLOOKUP(B66,Ingredients!$A$2:$G$229,6,FALSE)*C66</f>
        <v>46</v>
      </c>
      <c r="F66" s="1">
        <f>IFERROR(VLOOKUP(B66,Ingredients!$A$2:$H$229,7,FALSE),0)*C66</f>
        <v>240</v>
      </c>
      <c r="G66" s="7">
        <f>$G$64*C66</f>
        <v>47</v>
      </c>
      <c r="J66" s="14" t="str">
        <f>IFERROR(INDEX($A$2:$A$192, MATCH(0,INDEX(COUNTIF($J$1:J65, $A$2:$A$192)+(COUNTIF($A$2:$A$192, $A$2:$A$192)&lt;&gt;1),0,0), 0)), "")</f>
        <v/>
      </c>
      <c r="K66" s="14" t="str">
        <f>IFERROR(INDEX(Ingredients!$A$2:$A$114, MATCH(0,INDEX(COUNTIF($K$1:K65, Ingredients!$A$2:$A$114)+(COUNTIF(Ingredients!$A$2:$A$114, Ingredients!$A$2:$A$114)&lt;&gt;1),0,0), 0)), "")</f>
        <v>Reese Peanut Butter Cups</v>
      </c>
    </row>
    <row r="67" spans="1:11" x14ac:dyDescent="0.25">
      <c r="A67" s="20"/>
      <c r="B67" s="1" t="s">
        <v>93</v>
      </c>
      <c r="C67" s="2">
        <v>2</v>
      </c>
      <c r="D67" s="1" t="str">
        <f>VLOOKUP(B67,Ingredients!$A$2:$G$229,5,FALSE)</f>
        <v>piece</v>
      </c>
      <c r="E67" s="1">
        <f>VLOOKUP(B67,Ingredients!$A$2:$G$229,6,FALSE)*C67</f>
        <v>86</v>
      </c>
      <c r="F67" s="1">
        <f>IFERROR(VLOOKUP(B67,Ingredients!$A$2:$H$229,7,FALSE),0)*C67</f>
        <v>460</v>
      </c>
      <c r="G67" s="7">
        <f>$G$64*C67</f>
        <v>94</v>
      </c>
      <c r="J67" s="14" t="str">
        <f>IFERROR(INDEX($A$2:$A$192, MATCH(0,INDEX(COUNTIF($J$1:J66, $A$2:$A$192)+(COUNTIF($A$2:$A$192, $A$2:$A$192)&lt;&gt;1),0,0), 0)), "")</f>
        <v/>
      </c>
      <c r="K67" s="14" t="str">
        <f>IFERROR(INDEX(Ingredients!$A$2:$A$114, MATCH(0,INDEX(COUNTIF($K$1:K66, Ingredients!$A$2:$A$114)+(COUNTIF(Ingredients!$A$2:$A$114, Ingredients!$A$2:$A$114)&lt;&gt;1),0,0), 0)), "")</f>
        <v>O Henry Bar</v>
      </c>
    </row>
    <row r="68" spans="1:11" x14ac:dyDescent="0.25">
      <c r="A68" s="20"/>
      <c r="C68" s="2"/>
      <c r="D68" s="1"/>
      <c r="E68" s="1"/>
      <c r="F68" s="1"/>
      <c r="G68" s="7"/>
      <c r="J68" s="14" t="str">
        <f>IFERROR(INDEX($A$2:$A$192, MATCH(0,INDEX(COUNTIF($J$1:J67, $A$2:$A$192)+(COUNTIF($A$2:$A$192, $A$2:$A$192)&lt;&gt;1),0,0), 0)), "")</f>
        <v/>
      </c>
      <c r="K68" s="14" t="str">
        <f>IFERROR(INDEX(Ingredients!$A$2:$A$114, MATCH(0,INDEX(COUNTIF($K$1:K67, Ingredients!$A$2:$A$114)+(COUNTIF(Ingredients!$A$2:$A$114, Ingredients!$A$2:$A$114)&lt;&gt;1),0,0), 0)), "")</f>
        <v>Hersheys Cookies'n'Cream Bar</v>
      </c>
    </row>
    <row r="69" spans="1:11" x14ac:dyDescent="0.25">
      <c r="A69" s="69" t="s">
        <v>150</v>
      </c>
      <c r="B69" s="70"/>
      <c r="C69" s="4">
        <v>1</v>
      </c>
      <c r="D69" s="4" t="s">
        <v>137</v>
      </c>
      <c r="E69" s="4">
        <f>SUM(E70:E71)</f>
        <v>100</v>
      </c>
      <c r="F69" s="4">
        <f>SUM(F70:F71)</f>
        <v>250</v>
      </c>
      <c r="G69" s="30">
        <f>SUM(SUMIF(Meals!C:C,A69,Meals!H:H),SUMIF(Meals!K:K,A69,Meals!P:P))</f>
        <v>41.8</v>
      </c>
      <c r="J69" s="14" t="str">
        <f>IFERROR(INDEX($A$2:$A$192, MATCH(0,INDEX(COUNTIF($J$1:J68, $A$2:$A$192)+(COUNTIF($A$2:$A$192, $A$2:$A$192)&lt;&gt;1),0,0), 0)), "")</f>
        <v/>
      </c>
      <c r="K69" s="14" t="str">
        <f>IFERROR(INDEX(Ingredients!$A$2:$A$114, MATCH(0,INDEX(COUNTIF($K$1:K68, Ingredients!$A$2:$A$114)+(COUNTIF(Ingredients!$A$2:$A$114, Ingredients!$A$2:$A$114)&lt;&gt;1),0,0), 0)), "")</f>
        <v>OTHER CONSUMABLES</v>
      </c>
    </row>
    <row r="70" spans="1:11" x14ac:dyDescent="0.25">
      <c r="A70" s="20"/>
      <c r="B70" s="1" t="s">
        <v>69</v>
      </c>
      <c r="C70" s="2">
        <v>5</v>
      </c>
      <c r="D70" s="1" t="str">
        <f>VLOOKUP(B70,Ingredients!$A$2:$G$229,5,FALSE)</f>
        <v>3 pieces</v>
      </c>
      <c r="E70" s="1">
        <f>VLOOKUP(B70,Ingredients!$A$2:$G$229,6,FALSE)*C70</f>
        <v>100</v>
      </c>
      <c r="F70" s="1">
        <f>IFERROR(VLOOKUP(B70,Ingredients!$A$2:$H$229,7,FALSE),0)*C70</f>
        <v>250</v>
      </c>
      <c r="G70" s="7">
        <f>$G$69*C70</f>
        <v>209</v>
      </c>
      <c r="J70" s="14" t="str">
        <f>IFERROR(INDEX($A$2:$A$192, MATCH(0,INDEX(COUNTIF($J$1:J69, $A$2:$A$192)+(COUNTIF($A$2:$A$192, $A$2:$A$192)&lt;&gt;1),0,0), 0)), "")</f>
        <v/>
      </c>
      <c r="K70" s="14" t="str">
        <f>IFERROR(INDEX(Ingredients!$A$2:$A$114, MATCH(0,INDEX(COUNTIF($K$1:K69, Ingredients!$A$2:$A$114)+(COUNTIF(Ingredients!$A$2:$A$114, Ingredients!$A$2:$A$114)&lt;&gt;1),0,0), 0)), "")</f>
        <v>Sunscreen</v>
      </c>
    </row>
    <row r="71" spans="1:11" x14ac:dyDescent="0.25">
      <c r="A71" s="20"/>
      <c r="B71" s="1"/>
      <c r="C71" s="2"/>
      <c r="D71" s="1"/>
      <c r="E71" s="1"/>
      <c r="F71" s="1"/>
      <c r="G71" s="7"/>
      <c r="J71" s="14" t="str">
        <f>IFERROR(INDEX($A$2:$A$192, MATCH(0,INDEX(COUNTIF($J$1:J70, $A$2:$A$192)+(COUNTIF($A$2:$A$192, $A$2:$A$192)&lt;&gt;1),0,0), 0)), "")</f>
        <v/>
      </c>
      <c r="K71" s="14" t="str">
        <f>IFERROR(INDEX(Ingredients!$A$2:$A$114, MATCH(0,INDEX(COUNTIF($K$1:K70, Ingredients!$A$2:$A$114)+(COUNTIF(Ingredients!$A$2:$A$114, Ingredients!$A$2:$A$114)&lt;&gt;1),0,0), 0)), "")</f>
        <v>Lip balm</v>
      </c>
    </row>
    <row r="72" spans="1:11" ht="14.45" customHeight="1" x14ac:dyDescent="0.25">
      <c r="A72" s="69" t="s">
        <v>151</v>
      </c>
      <c r="B72" s="70"/>
      <c r="C72" s="4">
        <v>1</v>
      </c>
      <c r="D72" s="4" t="s">
        <v>137</v>
      </c>
      <c r="E72" s="4">
        <f>SUM(E73:E74)</f>
        <v>125</v>
      </c>
      <c r="F72" s="4">
        <f>SUM(F73:F74)</f>
        <v>450</v>
      </c>
      <c r="G72" s="30">
        <f>SUM(SUMIF(Meals!C:C,A72,Meals!H:H),SUMIF(Meals!K:K,A72,Meals!P:P))</f>
        <v>4.5</v>
      </c>
      <c r="J72" s="14" t="str">
        <f>IFERROR(INDEX($A$2:$A$192, MATCH(0,INDEX(COUNTIF($J$1:J71, $A$2:$A$192)+(COUNTIF($A$2:$A$192, $A$2:$A$192)&lt;&gt;1),0,0), 0)), "")</f>
        <v/>
      </c>
      <c r="K72" s="14" t="str">
        <f>IFERROR(INDEX(Ingredients!$A$2:$A$114, MATCH(0,INDEX(COUNTIF($K$1:K71, Ingredients!$A$2:$A$114)+(COUNTIF(Ingredients!$A$2:$A$114, Ingredients!$A$2:$A$114)&lt;&gt;1),0,0), 0)), "")</f>
        <v>Baby wipes</v>
      </c>
    </row>
    <row r="73" spans="1:11" ht="14.45" customHeight="1" x14ac:dyDescent="0.25">
      <c r="A73" s="20"/>
      <c r="B73" s="1" t="s">
        <v>78</v>
      </c>
      <c r="C73" s="2">
        <v>50</v>
      </c>
      <c r="D73" s="1" t="str">
        <f>VLOOKUP(B73,Ingredients!$A$2:$G$229,5,FALSE)</f>
        <v>piece</v>
      </c>
      <c r="E73" s="1">
        <f>VLOOKUP(B73,Ingredients!$A$2:$G$229,6,FALSE)*C73</f>
        <v>125</v>
      </c>
      <c r="F73" s="1">
        <f>IFERROR(VLOOKUP(B73,Ingredients!$A$2:$H$229,7,FALSE),0)*C73</f>
        <v>450</v>
      </c>
      <c r="G73" s="7">
        <f>$G$72*C73</f>
        <v>225</v>
      </c>
      <c r="J73" s="14" t="str">
        <f>IFERROR(INDEX($A$2:$A$192, MATCH(0,INDEX(COUNTIF($J$1:J72, $A$2:$A$192)+(COUNTIF($A$2:$A$192, $A$2:$A$192)&lt;&gt;1),0,0), 0)), "")</f>
        <v/>
      </c>
      <c r="K73" s="14" t="str">
        <f>IFERROR(INDEX(Ingredients!$A$2:$A$114, MATCH(0,INDEX(COUNTIF($K$1:K72, Ingredients!$A$2:$A$114)+(COUNTIF(Ingredients!$A$2:$A$114, Ingredients!$A$2:$A$114)&lt;&gt;1),0,0), 0)), "")</f>
        <v>Bug spray</v>
      </c>
    </row>
    <row r="74" spans="1:11" x14ac:dyDescent="0.25">
      <c r="A74" s="20"/>
      <c r="B74" s="1"/>
      <c r="C74" s="2"/>
      <c r="D74" s="1"/>
      <c r="E74" s="1"/>
      <c r="F74" s="1"/>
      <c r="G74" s="7"/>
      <c r="J74" s="14" t="str">
        <f>IFERROR(INDEX($A$2:$A$192, MATCH(0,INDEX(COUNTIF($J$1:J73, $A$2:$A$192)+(COUNTIF($A$2:$A$192, $A$2:$A$192)&lt;&gt;1),0,0), 0)), "")</f>
        <v/>
      </c>
      <c r="K74" s="14" t="str">
        <f>IFERROR(INDEX(Ingredients!$A$2:$A$114, MATCH(0,INDEX(COUNTIF($K$1:K73, Ingredients!$A$2:$A$114)+(COUNTIF(Ingredients!$A$2:$A$114, Ingredients!$A$2:$A$114)&lt;&gt;1),0,0), 0)), "")</f>
        <v>Hand sanitizer</v>
      </c>
    </row>
    <row r="75" spans="1:11" x14ac:dyDescent="0.25">
      <c r="A75" s="69" t="s">
        <v>152</v>
      </c>
      <c r="B75" s="70"/>
      <c r="C75" s="4">
        <v>1</v>
      </c>
      <c r="D75" s="4" t="s">
        <v>137</v>
      </c>
      <c r="E75" s="4">
        <f>SUM(E76:E80)</f>
        <v>184</v>
      </c>
      <c r="F75" s="4">
        <f>SUM(F76:F80)</f>
        <v>601.29999999999995</v>
      </c>
      <c r="G75" s="30">
        <f>SUM(SUMIF(Meals!C:C,A75,Meals!H:H),SUMIF(Meals!K:K,A75,Meals!P:P))</f>
        <v>9</v>
      </c>
      <c r="J75" s="14" t="str">
        <f>IFERROR(INDEX($A$2:$A$192, MATCH(0,INDEX(COUNTIF($J$1:J74, $A$2:$A$192)+(COUNTIF($A$2:$A$192, $A$2:$A$192)&lt;&gt;1),0,0), 0)), "")</f>
        <v/>
      </c>
      <c r="K75" s="14" t="str">
        <f>IFERROR(INDEX(Ingredients!$A$2:$A$114, MATCH(0,INDEX(COUNTIF($K$1:K74, Ingredients!$A$2:$A$114)+(COUNTIF(Ingredients!$A$2:$A$114, Ingredients!$A$2:$A$114)&lt;&gt;1),0,0), 0)), "")</f>
        <v/>
      </c>
    </row>
    <row r="76" spans="1:11" x14ac:dyDescent="0.25">
      <c r="A76" s="20"/>
      <c r="B76" s="1" t="s">
        <v>34</v>
      </c>
      <c r="C76" s="2">
        <v>1</v>
      </c>
      <c r="D76" s="1" t="str">
        <f>VLOOKUP(B76,Ingredients!$A$2:$G$229,5,FALSE)</f>
        <v>Brick of noodles (1/5 of package)</v>
      </c>
      <c r="E76" s="1">
        <f>VLOOKUP(B76,Ingredients!$A$2:$G$229,6,FALSE)*C76</f>
        <v>45</v>
      </c>
      <c r="F76" s="1">
        <f>IFERROR(VLOOKUP(B76,Ingredients!$A$2:$H$229,7,FALSE),0)*C76</f>
        <v>168</v>
      </c>
      <c r="G76" s="7">
        <f>$G$75*C76</f>
        <v>9</v>
      </c>
      <c r="J76" s="14" t="str">
        <f>IFERROR(INDEX($A$2:$A$192, MATCH(0,INDEX(COUNTIF($J$1:J75, $A$2:$A$192)+(COUNTIF($A$2:$A$192, $A$2:$A$192)&lt;&gt;1),0,0), 0)), "")</f>
        <v/>
      </c>
      <c r="K76" s="14" t="str">
        <f>IFERROR(INDEX(Ingredients!$A$2:$A$114, MATCH(0,INDEX(COUNTIF($K$1:K75, Ingredients!$A$2:$A$114)+(COUNTIF(Ingredients!$A$2:$A$114, Ingredients!$A$2:$A$114)&lt;&gt;1),0,0), 0)), "")</f>
        <v/>
      </c>
    </row>
    <row r="77" spans="1:11" x14ac:dyDescent="0.25">
      <c r="A77" s="20"/>
      <c r="B77" s="1" t="s">
        <v>36</v>
      </c>
      <c r="C77" s="2">
        <v>1</v>
      </c>
      <c r="D77" s="1" t="str">
        <f>VLOOKUP(B77,Ingredients!$A$2:$G$229,5,FALSE)</f>
        <v>tablespoon</v>
      </c>
      <c r="E77" s="1">
        <f>VLOOKUP(B77,Ingredients!$A$2:$G$229,6,FALSE)*C77</f>
        <v>10</v>
      </c>
      <c r="F77" s="1">
        <f>IFERROR(VLOOKUP(B77,Ingredients!$A$2:$H$229,7,FALSE),0)*C77</f>
        <v>53.3</v>
      </c>
      <c r="G77" s="7">
        <f>$G$75*C77</f>
        <v>9</v>
      </c>
      <c r="J77" s="14" t="str">
        <f>IFERROR(INDEX($A$2:$A$192, MATCH(0,INDEX(COUNTIF($J$1:J76, $A$2:$A$192)+(COUNTIF($A$2:$A$192, $A$2:$A$192)&lt;&gt;1),0,0), 0)), "")</f>
        <v/>
      </c>
      <c r="K77" s="14" t="str">
        <f>IFERROR(INDEX(Ingredients!$A$2:$A$114, MATCH(0,INDEX(COUNTIF($K$1:K76, Ingredients!$A$2:$A$114)+(COUNTIF(Ingredients!$A$2:$A$114, Ingredients!$A$2:$A$114)&lt;&gt;1),0,0), 0)), "")</f>
        <v/>
      </c>
    </row>
    <row r="78" spans="1:11" x14ac:dyDescent="0.25">
      <c r="A78" s="20"/>
      <c r="B78" s="1" t="s">
        <v>44</v>
      </c>
      <c r="C78" s="2">
        <v>1</v>
      </c>
      <c r="D78" s="1" t="str">
        <f>VLOOKUP(B78,Ingredients!$A$2:$G$229,5,FALSE)</f>
        <v>package</v>
      </c>
      <c r="E78" s="1">
        <f>VLOOKUP(B78,Ingredients!$A$2:$G$229,6,FALSE)*C78</f>
        <v>100</v>
      </c>
      <c r="F78" s="1">
        <f>IFERROR(VLOOKUP(B78,Ingredients!$A$2:$H$229,7,FALSE),0)*C78</f>
        <v>200</v>
      </c>
      <c r="G78" s="7">
        <f>$G$75*C78</f>
        <v>9</v>
      </c>
      <c r="J78" s="14" t="str">
        <f>IFERROR(INDEX($A$2:$A$192, MATCH(0,INDEX(COUNTIF($J$1:J77, $A$2:$A$192)+(COUNTIF($A$2:$A$192, $A$2:$A$192)&lt;&gt;1),0,0), 0)), "")</f>
        <v/>
      </c>
      <c r="K78" s="14" t="str">
        <f>IFERROR(INDEX(Ingredients!$A$2:$A$114, MATCH(0,INDEX(COUNTIF($K$1:K77, Ingredients!$A$2:$A$114)+(COUNTIF(Ingredients!$A$2:$A$114, Ingredients!$A$2:$A$114)&lt;&gt;1),0,0), 0)), "")</f>
        <v/>
      </c>
    </row>
    <row r="79" spans="1:11" x14ac:dyDescent="0.25">
      <c r="A79" s="20"/>
      <c r="B79" s="1" t="s">
        <v>28</v>
      </c>
      <c r="C79" s="2">
        <v>1</v>
      </c>
      <c r="D79" s="1" t="str">
        <f>VLOOKUP(B79,Ingredients!$A$2:$G$229,5,FALSE)</f>
        <v>tablespoon</v>
      </c>
      <c r="E79" s="1">
        <f>VLOOKUP(B79,Ingredients!$A$2:$G$229,6,FALSE)*C79</f>
        <v>14</v>
      </c>
      <c r="F79" s="1">
        <f>IFERROR(VLOOKUP(B79,Ingredients!$A$2:$H$229,7,FALSE),0)*C79</f>
        <v>120</v>
      </c>
      <c r="G79" s="7">
        <f>$G$75*C79</f>
        <v>9</v>
      </c>
      <c r="J79" s="14" t="str">
        <f>IFERROR(INDEX($A$2:$A$192, MATCH(0,INDEX(COUNTIF($J$1:J78, $A$2:$A$192)+(COUNTIF($A$2:$A$192, $A$2:$A$192)&lt;&gt;1),0,0), 0)), "")</f>
        <v/>
      </c>
      <c r="K79" s="14" t="str">
        <f>IFERROR(INDEX(Ingredients!$A$2:$A$114, MATCH(0,INDEX(COUNTIF($K$1:K78, Ingredients!$A$2:$A$114)+(COUNTIF(Ingredients!$A$2:$A$114, Ingredients!$A$2:$A$114)&lt;&gt;1),0,0), 0)), "")</f>
        <v/>
      </c>
    </row>
    <row r="80" spans="1:11" x14ac:dyDescent="0.25">
      <c r="A80" s="20"/>
      <c r="B80" s="1" t="s">
        <v>24</v>
      </c>
      <c r="C80" s="2">
        <v>1</v>
      </c>
      <c r="D80" s="1" t="str">
        <f>VLOOKUP(B80,Ingredients!$A$2:$G$229,5,FALSE)</f>
        <v>tablespoon</v>
      </c>
      <c r="E80" s="1">
        <f>VLOOKUP(B80,Ingredients!$A$2:$G$229,6,FALSE)*C80</f>
        <v>15</v>
      </c>
      <c r="F80" s="1">
        <f>IFERROR(VLOOKUP(B80,Ingredients!$A$2:$H$229,7,FALSE),0)*C80</f>
        <v>60</v>
      </c>
      <c r="G80" s="7">
        <f>$G$75*C80</f>
        <v>9</v>
      </c>
      <c r="J80" s="14" t="str">
        <f>IFERROR(INDEX($A$2:$A$192, MATCH(0,INDEX(COUNTIF($J$1:J79, $A$2:$A$192)+(COUNTIF($A$2:$A$192, $A$2:$A$192)&lt;&gt;1),0,0), 0)), "")</f>
        <v/>
      </c>
      <c r="K80" s="14" t="str">
        <f>IFERROR(INDEX(Ingredients!$A$2:$A$114, MATCH(0,INDEX(COUNTIF($K$1:K79, Ingredients!$A$2:$A$114)+(COUNTIF(Ingredients!$A$2:$A$114, Ingredients!$A$2:$A$114)&lt;&gt;1),0,0), 0)), "")</f>
        <v/>
      </c>
    </row>
    <row r="81" spans="1:11" x14ac:dyDescent="0.25">
      <c r="A81" s="69" t="s">
        <v>153</v>
      </c>
      <c r="B81" s="70"/>
      <c r="C81" s="4">
        <v>1</v>
      </c>
      <c r="D81" s="4" t="s">
        <v>137</v>
      </c>
      <c r="E81" s="4">
        <f>SUM(E82:E86)</f>
        <v>129</v>
      </c>
      <c r="F81" s="4">
        <f>SUM(F82:F86)</f>
        <v>690</v>
      </c>
      <c r="G81" s="30">
        <f>SUM(SUMIF(Meals!C:C,A81,Meals!H:H),SUMIF(Meals!K:K,A81,Meals!P:P))</f>
        <v>0</v>
      </c>
      <c r="J81" s="14" t="str">
        <f>IFERROR(INDEX($A$2:$A$192, MATCH(0,INDEX(COUNTIF($J$1:J80, $A$2:$A$192)+(COUNTIF($A$2:$A$192, $A$2:$A$192)&lt;&gt;1),0,0), 0)), "")</f>
        <v/>
      </c>
      <c r="K81" s="14" t="str">
        <f>IFERROR(INDEX(Ingredients!$A$2:$A$114, MATCH(0,INDEX(COUNTIF($K$1:K80, Ingredients!$A$2:$A$114)+(COUNTIF(Ingredients!$A$2:$A$114, Ingredients!$A$2:$A$114)&lt;&gt;1),0,0), 0)), "")</f>
        <v/>
      </c>
    </row>
    <row r="82" spans="1:11" x14ac:dyDescent="0.25">
      <c r="A82" s="20"/>
      <c r="B82" s="1" t="s">
        <v>74</v>
      </c>
      <c r="C82" s="2">
        <v>1</v>
      </c>
      <c r="D82" s="1" t="str">
        <f>VLOOKUP(B82,Ingredients!$A$2:$G$229,5,FALSE)</f>
        <v>package (cup)</v>
      </c>
      <c r="E82" s="1">
        <f>VLOOKUP(B82,Ingredients!$A$2:$G$229,6,FALSE)*C82</f>
        <v>0</v>
      </c>
      <c r="F82" s="1">
        <f>IFERROR(VLOOKUP(B82,Ingredients!$A$2:$H$229,7,FALSE),0)*C82</f>
        <v>280</v>
      </c>
      <c r="G82" s="7">
        <f>$G$81*C82</f>
        <v>0</v>
      </c>
      <c r="J82" s="14" t="str">
        <f>IFERROR(INDEX($A$2:$A$192, MATCH(0,INDEX(COUNTIF($J$1:J81, $A$2:$A$192)+(COUNTIF($A$2:$A$192, $A$2:$A$192)&lt;&gt;1),0,0), 0)), "")</f>
        <v/>
      </c>
      <c r="K82" s="14" t="str">
        <f>IFERROR(INDEX(Ingredients!$A$2:$A$114, MATCH(0,INDEX(COUNTIF($K$1:K81, Ingredients!$A$2:$A$114)+(COUNTIF(Ingredients!$A$2:$A$114, Ingredients!$A$2:$A$114)&lt;&gt;1),0,0), 0)), "")</f>
        <v/>
      </c>
    </row>
    <row r="83" spans="1:11" x14ac:dyDescent="0.25">
      <c r="A83" s="20"/>
      <c r="B83" s="1" t="s">
        <v>41</v>
      </c>
      <c r="C83" s="2">
        <v>1</v>
      </c>
      <c r="D83" s="1" t="str">
        <f>VLOOKUP(B83,Ingredients!$A$2:$G$229,5,FALSE)</f>
        <v>cube</v>
      </c>
      <c r="E83" s="1">
        <f>VLOOKUP(B83,Ingredients!$A$2:$G$229,6,FALSE)*C83</f>
        <v>0</v>
      </c>
      <c r="F83" s="1">
        <f>IFERROR(VLOOKUP(B83,Ingredients!$A$2:$H$229,7,FALSE),0)*C83</f>
        <v>30</v>
      </c>
      <c r="G83" s="7">
        <f t="shared" ref="G83:G86" si="5">$G$81*C83</f>
        <v>0</v>
      </c>
      <c r="J83" s="14" t="str">
        <f>IFERROR(INDEX($A$2:$A$192, MATCH(0,INDEX(COUNTIF($J$1:J82, $A$2:$A$192)+(COUNTIF($A$2:$A$192, $A$2:$A$192)&lt;&gt;1),0,0), 0)), "")</f>
        <v/>
      </c>
      <c r="K83" s="14" t="str">
        <f>IFERROR(INDEX(Ingredients!$A$2:$A$114, MATCH(0,INDEX(COUNTIF($K$1:K82, Ingredients!$A$2:$A$114)+(COUNTIF(Ingredients!$A$2:$A$114, Ingredients!$A$2:$A$114)&lt;&gt;1),0,0), 0)), "")</f>
        <v/>
      </c>
    </row>
    <row r="84" spans="1:11" x14ac:dyDescent="0.25">
      <c r="A84" s="20"/>
      <c r="B84" s="1" t="s">
        <v>28</v>
      </c>
      <c r="C84" s="2">
        <v>1</v>
      </c>
      <c r="D84" s="1" t="str">
        <f>VLOOKUP(B84,Ingredients!$A$2:$G$229,5,FALSE)</f>
        <v>tablespoon</v>
      </c>
      <c r="E84" s="1">
        <f>VLOOKUP(B84,Ingredients!$A$2:$G$229,6,FALSE)*C84</f>
        <v>14</v>
      </c>
      <c r="F84" s="1">
        <f>IFERROR(VLOOKUP(B84,Ingredients!$A$2:$H$229,7,FALSE),0)*C84</f>
        <v>120</v>
      </c>
      <c r="G84" s="7">
        <f t="shared" si="5"/>
        <v>0</v>
      </c>
      <c r="J84" s="14" t="str">
        <f>IFERROR(INDEX($A$2:$A$192, MATCH(0,INDEX(COUNTIF($J$1:J83, $A$2:$A$192)+(COUNTIF($A$2:$A$192, $A$2:$A$192)&lt;&gt;1),0,0), 0)), "")</f>
        <v/>
      </c>
      <c r="K84" s="14" t="str">
        <f>IFERROR(INDEX(Ingredients!$A$2:$A$114, MATCH(0,INDEX(COUNTIF($K$1:K83, Ingredients!$A$2:$A$114)+(COUNTIF(Ingredients!$A$2:$A$114, Ingredients!$A$2:$A$114)&lt;&gt;1),0,0), 0)), "")</f>
        <v/>
      </c>
    </row>
    <row r="85" spans="1:11" x14ac:dyDescent="0.25">
      <c r="A85" s="20"/>
      <c r="B85" s="1" t="s">
        <v>44</v>
      </c>
      <c r="C85" s="2">
        <v>1</v>
      </c>
      <c r="D85" s="1" t="str">
        <f>VLOOKUP(B85,Ingredients!$A$2:$G$229,5,FALSE)</f>
        <v>package</v>
      </c>
      <c r="E85" s="1">
        <f>VLOOKUP(B85,Ingredients!$A$2:$G$229,6,FALSE)*C85</f>
        <v>100</v>
      </c>
      <c r="F85" s="1">
        <f>IFERROR(VLOOKUP(B85,Ingredients!$A$2:$H$229,7,FALSE),0)*C85</f>
        <v>200</v>
      </c>
      <c r="G85" s="7">
        <f t="shared" si="5"/>
        <v>0</v>
      </c>
      <c r="J85" s="14" t="str">
        <f>IFERROR(INDEX($A$2:$A$192, MATCH(0,INDEX(COUNTIF($J$1:J84, $A$2:$A$192)+(COUNTIF($A$2:$A$192, $A$2:$A$192)&lt;&gt;1),0,0), 0)), "")</f>
        <v/>
      </c>
      <c r="K85" s="14" t="str">
        <f>IFERROR(INDEX(Ingredients!$A$2:$A$114, MATCH(0,INDEX(COUNTIF($K$1:K84, Ingredients!$A$2:$A$114)+(COUNTIF(Ingredients!$A$2:$A$114, Ingredients!$A$2:$A$114)&lt;&gt;1),0,0), 0)), "")</f>
        <v/>
      </c>
    </row>
    <row r="86" spans="1:11" x14ac:dyDescent="0.25">
      <c r="A86" s="20"/>
      <c r="B86" s="1" t="s">
        <v>24</v>
      </c>
      <c r="C86" s="1">
        <v>1</v>
      </c>
      <c r="D86" s="1" t="str">
        <f>VLOOKUP(B86,Ingredients!$A$2:$G$229,5,FALSE)</f>
        <v>tablespoon</v>
      </c>
      <c r="E86" s="1">
        <f>VLOOKUP(B86,Ingredients!$A$2:$G$229,6,FALSE)*C86</f>
        <v>15</v>
      </c>
      <c r="F86" s="1">
        <f>IFERROR(VLOOKUP(B86,Ingredients!$A$2:$H$229,7,FALSE),0)*C86</f>
        <v>60</v>
      </c>
      <c r="G86" s="7">
        <f t="shared" si="5"/>
        <v>0</v>
      </c>
      <c r="J86" s="14" t="str">
        <f>IFERROR(INDEX($A$2:$A$192, MATCH(0,INDEX(COUNTIF($J$1:J85, $A$2:$A$192)+(COUNTIF($A$2:$A$192, $A$2:$A$192)&lt;&gt;1),0,0), 0)), "")</f>
        <v/>
      </c>
      <c r="K86" s="14" t="str">
        <f>IFERROR(INDEX(Ingredients!$A$2:$A$114, MATCH(0,INDEX(COUNTIF($K$1:K85, Ingredients!$A$2:$A$114)+(COUNTIF(Ingredients!$A$2:$A$114, Ingredients!$A$2:$A$114)&lt;&gt;1),0,0), 0)), "")</f>
        <v/>
      </c>
    </row>
    <row r="87" spans="1:11" x14ac:dyDescent="0.25">
      <c r="A87" s="69" t="s">
        <v>154</v>
      </c>
      <c r="B87" s="70"/>
      <c r="C87" s="4">
        <v>1</v>
      </c>
      <c r="D87" s="4" t="s">
        <v>137</v>
      </c>
      <c r="E87" s="4">
        <f>SUM(E88:E89)</f>
        <v>0</v>
      </c>
      <c r="F87" s="4">
        <f>SUM(F88:F89)</f>
        <v>0</v>
      </c>
      <c r="G87" s="30">
        <f>SUM(SUMIF(Meals!C:C,A87,Meals!H:H),SUMIF(Meals!K:K,A87,Meals!P:P))</f>
        <v>0</v>
      </c>
      <c r="J87" s="14" t="str">
        <f>IFERROR(INDEX($A$2:$A$192, MATCH(0,INDEX(COUNTIF($J$1:J86, $A$2:$A$192)+(COUNTIF($A$2:$A$192, $A$2:$A$192)&lt;&gt;1),0,0), 0)), "")</f>
        <v/>
      </c>
      <c r="K87" s="14" t="str">
        <f>IFERROR(INDEX(Ingredients!$A$2:$A$114, MATCH(0,INDEX(COUNTIF($K$1:K86, Ingredients!$A$2:$A$114)+(COUNTIF(Ingredients!$A$2:$A$114, Ingredients!$A$2:$A$114)&lt;&gt;1),0,0), 0)), "")</f>
        <v/>
      </c>
    </row>
    <row r="88" spans="1:11" x14ac:dyDescent="0.25">
      <c r="A88" s="20"/>
      <c r="B88" s="1" t="s">
        <v>77</v>
      </c>
      <c r="C88" s="2">
        <v>0</v>
      </c>
      <c r="D88" s="1" t="str">
        <f>VLOOKUP(B88,Ingredients!$A$2:$G$229,5,FALSE)</f>
        <v>piece</v>
      </c>
      <c r="E88" s="1">
        <f>VLOOKUP(B88,Ingredients!$A$2:$G$229,6,FALSE)*C88</f>
        <v>0</v>
      </c>
      <c r="F88" s="1">
        <f>IFERROR(VLOOKUP(B88,Ingredients!$A$2:$H$229,7,FALSE),0)*C88</f>
        <v>0</v>
      </c>
      <c r="G88" s="7">
        <f>$G$87*C88</f>
        <v>0</v>
      </c>
      <c r="J88" s="14" t="str">
        <f>IFERROR(INDEX($A$2:$A$192, MATCH(0,INDEX(COUNTIF($J$1:J87, $A$2:$A$192)+(COUNTIF($A$2:$A$192, $A$2:$A$192)&lt;&gt;1),0,0), 0)), "")</f>
        <v/>
      </c>
      <c r="K88" s="14" t="str">
        <f>IFERROR(INDEX(Ingredients!$A$2:$A$114, MATCH(0,INDEX(COUNTIF($K$1:K87, Ingredients!$A$2:$A$114)+(COUNTIF(Ingredients!$A$2:$A$114, Ingredients!$A$2:$A$114)&lt;&gt;1),0,0), 0)), "")</f>
        <v/>
      </c>
    </row>
    <row r="89" spans="1:11" ht="15.75" thickBot="1" x14ac:dyDescent="0.3">
      <c r="A89" s="21"/>
      <c r="B89" s="8"/>
      <c r="C89" s="31"/>
      <c r="D89" s="1"/>
      <c r="E89" s="1"/>
      <c r="F89" s="1"/>
      <c r="G89" s="9"/>
      <c r="J89" s="14" t="str">
        <f>IFERROR(INDEX($A$2:$A$192, MATCH(0,INDEX(COUNTIF($J$1:J88, $A$2:$A$192)+(COUNTIF($A$2:$A$192, $A$2:$A$192)&lt;&gt;1),0,0), 0)), "")</f>
        <v/>
      </c>
      <c r="K89" s="14" t="str">
        <f>IFERROR(INDEX(Ingredients!$A$2:$A$114, MATCH(0,INDEX(COUNTIF($K$1:K88, Ingredients!$A$2:$A$114)+(COUNTIF(Ingredients!$A$2:$A$114, Ingredients!$A$2:$A$114)&lt;&gt;1),0,0), 0)), "")</f>
        <v/>
      </c>
    </row>
    <row r="90" spans="1:11" x14ac:dyDescent="0.25">
      <c r="A90" s="69" t="s">
        <v>155</v>
      </c>
      <c r="B90" s="70"/>
      <c r="C90" s="4">
        <v>1</v>
      </c>
      <c r="D90" s="4" t="s">
        <v>137</v>
      </c>
      <c r="E90" s="4">
        <f>SUM(E91:E95)</f>
        <v>183</v>
      </c>
      <c r="F90" s="4">
        <f>SUM(F91:F95)</f>
        <v>783</v>
      </c>
      <c r="G90" s="30">
        <f>SUM(SUMIF(Meals!C:C,A90,Meals!H:H),SUMIF(Meals!K:K,A90,Meals!P:P))</f>
        <v>35</v>
      </c>
    </row>
    <row r="91" spans="1:11" x14ac:dyDescent="0.25">
      <c r="A91" s="20"/>
      <c r="B91" s="1" t="s">
        <v>90</v>
      </c>
      <c r="C91" s="2">
        <v>1</v>
      </c>
      <c r="D91" s="1" t="str">
        <f>VLOOKUP(B91,Ingredients!$A$2:$G$229,5,FALSE)</f>
        <v>1/2 package (g)</v>
      </c>
      <c r="E91" s="1">
        <f>VLOOKUP(B91,Ingredients!$A$2:$G$229,6,FALSE)*C91</f>
        <v>71</v>
      </c>
      <c r="F91" s="1">
        <f>IFERROR(VLOOKUP(B91,Ingredients!$A$2:$H$229,7,FALSE),0)*C91</f>
        <v>310</v>
      </c>
      <c r="G91" s="7">
        <f>$G$90*C91</f>
        <v>35</v>
      </c>
      <c r="H91">
        <f>H92+E91</f>
        <v>123</v>
      </c>
    </row>
    <row r="92" spans="1:11" x14ac:dyDescent="0.25">
      <c r="A92" s="20"/>
      <c r="B92" s="1" t="s">
        <v>17</v>
      </c>
      <c r="C92" s="2">
        <v>0.5</v>
      </c>
      <c r="D92" s="1" t="str">
        <f>VLOOKUP(B92,Ingredients!$A$2:$G$229,5,FALSE)</f>
        <v>cup</v>
      </c>
      <c r="E92" s="1">
        <f>VLOOKUP(B92,Ingredients!$A$2:$G$229,6,FALSE)*C92</f>
        <v>45</v>
      </c>
      <c r="F92" s="1">
        <f>IFERROR(VLOOKUP(B92,Ingredients!$A$2:$H$229,7,FALSE),0)*C92</f>
        <v>160</v>
      </c>
      <c r="G92" s="7">
        <f t="shared" ref="G92:G95" si="6">$G$90*C92</f>
        <v>17.5</v>
      </c>
      <c r="H92">
        <v>52</v>
      </c>
    </row>
    <row r="93" spans="1:11" x14ac:dyDescent="0.25">
      <c r="A93" s="20"/>
      <c r="B93" s="1" t="s">
        <v>53</v>
      </c>
      <c r="C93" s="2">
        <v>1</v>
      </c>
      <c r="D93" s="1" t="str">
        <f>VLOOKUP(B93,Ingredients!$A$2:$G$229,5,FALSE)</f>
        <v>piece</v>
      </c>
      <c r="E93" s="1">
        <f>VLOOKUP(B93,Ingredients!$A$2:$G$229,6,FALSE)*C93</f>
        <v>30</v>
      </c>
      <c r="F93" s="1">
        <f>IFERROR(VLOOKUP(B93,Ingredients!$A$2:$H$229,7,FALSE),0)*C93</f>
        <v>120</v>
      </c>
      <c r="G93" s="7">
        <f t="shared" si="6"/>
        <v>35</v>
      </c>
    </row>
    <row r="94" spans="1:11" x14ac:dyDescent="0.25">
      <c r="A94" s="20"/>
      <c r="B94" s="1" t="s">
        <v>87</v>
      </c>
      <c r="C94" s="2">
        <f>30/50</f>
        <v>0.6</v>
      </c>
      <c r="D94" s="1" t="str">
        <f>VLOOKUP(B94,Ingredients!$A$2:$G$229,5,FALSE)</f>
        <v>57 chips (1/7 of bag)</v>
      </c>
      <c r="E94" s="1">
        <f>VLOOKUP(B94,Ingredients!$A$2:$G$229,6,FALSE)*C94</f>
        <v>30</v>
      </c>
      <c r="F94" s="1">
        <f>IFERROR(VLOOKUP(B94,Ingredients!$A$2:$H$229,7,FALSE),0)*C94</f>
        <v>168</v>
      </c>
      <c r="G94" s="7">
        <f>$G$90*C94</f>
        <v>21</v>
      </c>
    </row>
    <row r="95" spans="1:11" x14ac:dyDescent="0.25">
      <c r="A95" s="20"/>
      <c r="B95" s="1" t="s">
        <v>95</v>
      </c>
      <c r="C95" s="1">
        <v>1</v>
      </c>
      <c r="D95" s="1" t="str">
        <f>VLOOKUP(B95,Ingredients!$A$2:$G$229,5,FALSE)</f>
        <v>1/5 package</v>
      </c>
      <c r="E95" s="1">
        <f>VLOOKUP(B95,Ingredients!$A$2:$G$229,6,FALSE)*C95</f>
        <v>7</v>
      </c>
      <c r="F95" s="1">
        <f>IFERROR(VLOOKUP(B95,Ingredients!$A$2:$H$229,7,FALSE),0)*C95</f>
        <v>25</v>
      </c>
      <c r="G95" s="7">
        <f t="shared" si="6"/>
        <v>35</v>
      </c>
      <c r="H95">
        <v>7</v>
      </c>
    </row>
    <row r="96" spans="1:11" x14ac:dyDescent="0.25">
      <c r="A96" s="20"/>
      <c r="B96" s="1"/>
      <c r="C96" s="1"/>
      <c r="D96" s="1"/>
      <c r="E96" s="1"/>
      <c r="F96" s="1"/>
      <c r="G96" s="7"/>
    </row>
    <row r="97" spans="1:7" x14ac:dyDescent="0.25">
      <c r="A97" s="69" t="s">
        <v>109</v>
      </c>
      <c r="B97" s="70"/>
      <c r="C97" s="4">
        <v>1</v>
      </c>
      <c r="D97" s="4" t="s">
        <v>137</v>
      </c>
      <c r="E97" s="4">
        <f>SUM(E98:E99)</f>
        <v>150</v>
      </c>
      <c r="F97" s="4">
        <f>SUM(F98:F99)</f>
        <v>100</v>
      </c>
      <c r="G97" s="30">
        <f>SUM(SUMIF(Meals!C:C,A97,Meals!H:H),SUMIF(Meals!K:K,A97,Meals!P:P))</f>
        <v>51.5</v>
      </c>
    </row>
    <row r="98" spans="1:7" x14ac:dyDescent="0.25">
      <c r="A98" s="20"/>
      <c r="B98" s="1" t="s">
        <v>109</v>
      </c>
      <c r="C98" s="2">
        <v>1</v>
      </c>
      <c r="D98" s="1" t="str">
        <f>VLOOKUP(B98,Ingredients!$A$2:$G$229,5,FALSE)</f>
        <v>Package</v>
      </c>
      <c r="E98" s="1">
        <f>VLOOKUP(B98,Ingredients!$A$2:$G$229,6,FALSE)*C98</f>
        <v>150</v>
      </c>
      <c r="F98" s="1">
        <f>IFERROR(VLOOKUP(B98,Ingredients!$A$2:$H$229,7,FALSE),0)*C98</f>
        <v>100</v>
      </c>
      <c r="G98" s="7">
        <f>$G$97*C98</f>
        <v>51.5</v>
      </c>
    </row>
    <row r="99" spans="1:7" x14ac:dyDescent="0.25">
      <c r="A99" s="20"/>
      <c r="B99" s="1"/>
      <c r="C99" s="2"/>
      <c r="D99" s="1"/>
      <c r="E99" s="1"/>
      <c r="F99" s="1"/>
      <c r="G99" s="7"/>
    </row>
    <row r="100" spans="1:7" x14ac:dyDescent="0.25">
      <c r="A100" s="69" t="s">
        <v>156</v>
      </c>
      <c r="B100" s="70"/>
      <c r="C100" s="4">
        <v>1</v>
      </c>
      <c r="D100" s="4" t="s">
        <v>137</v>
      </c>
      <c r="E100" s="4">
        <f>SUM(E101:E102)</f>
        <v>100</v>
      </c>
      <c r="F100" s="4">
        <f>SUM(F101:F102)</f>
        <v>400</v>
      </c>
      <c r="G100" s="30">
        <f>SUM(SUMIF(Meals!C:C,A100,Meals!H:H),SUMIF(Meals!K:K,A100,Meals!P:P))</f>
        <v>16</v>
      </c>
    </row>
    <row r="101" spans="1:7" x14ac:dyDescent="0.25">
      <c r="A101" s="20"/>
      <c r="B101" s="1" t="s">
        <v>104</v>
      </c>
      <c r="C101" s="2">
        <v>2</v>
      </c>
      <c r="D101" s="1" t="str">
        <f>VLOOKUP(B101,Ingredients!$A$2:$G$229,5,FALSE)</f>
        <v>Pastry (1/2 foil package)</v>
      </c>
      <c r="E101" s="1">
        <f>VLOOKUP(B101,Ingredients!$A$2:$G$229,6,FALSE)*C101</f>
        <v>100</v>
      </c>
      <c r="F101" s="1">
        <f>IFERROR(VLOOKUP(B101,Ingredients!$A$2:$H$229,7,FALSE),0)*C101</f>
        <v>400</v>
      </c>
      <c r="G101" s="7">
        <f>$G$100*C101</f>
        <v>32</v>
      </c>
    </row>
    <row r="102" spans="1:7" ht="16.5" customHeight="1" x14ac:dyDescent="0.25">
      <c r="A102" s="20"/>
      <c r="B102" s="1"/>
      <c r="C102" s="2"/>
      <c r="D102" s="1"/>
      <c r="E102" s="1"/>
      <c r="F102" s="1"/>
      <c r="G102" s="7"/>
    </row>
    <row r="103" spans="1:7" x14ac:dyDescent="0.25">
      <c r="A103" s="69" t="s">
        <v>157</v>
      </c>
      <c r="B103" s="70"/>
      <c r="C103" s="4">
        <v>1</v>
      </c>
      <c r="D103" s="4" t="s">
        <v>137</v>
      </c>
      <c r="E103" s="4">
        <f>SUM(E104:E109)</f>
        <v>171.6</v>
      </c>
      <c r="F103" s="4">
        <f>SUM(F104:F109)</f>
        <v>768.09999999999991</v>
      </c>
      <c r="G103" s="30">
        <f>SUM(SUMIF(Meals!C:C,A103,Meals!H:H),SUMIF(Meals!K:K,A103,Meals!P:P))</f>
        <v>35</v>
      </c>
    </row>
    <row r="104" spans="1:7" x14ac:dyDescent="0.25">
      <c r="A104" s="20"/>
      <c r="B104" s="1" t="s">
        <v>34</v>
      </c>
      <c r="C104" s="2">
        <v>2</v>
      </c>
      <c r="D104" s="1" t="str">
        <f>VLOOKUP(B104,Ingredients!$A$2:$G$229,5,FALSE)</f>
        <v>Brick of noodles (1/5 of package)</v>
      </c>
      <c r="E104" s="1">
        <f>VLOOKUP(B104,Ingredients!$A$2:$G$229,6,FALSE)*C104</f>
        <v>90</v>
      </c>
      <c r="F104" s="1">
        <f>IFERROR(VLOOKUP(B104,Ingredients!$A$2:$H$229,7,FALSE),0)*C104</f>
        <v>336</v>
      </c>
      <c r="G104" s="7">
        <f t="shared" ref="G104:G109" si="7">$G$103*C104</f>
        <v>70</v>
      </c>
    </row>
    <row r="105" spans="1:7" x14ac:dyDescent="0.25">
      <c r="A105" s="20"/>
      <c r="B105" s="1" t="s">
        <v>28</v>
      </c>
      <c r="C105" s="2">
        <v>2.15</v>
      </c>
      <c r="D105" s="1" t="str">
        <f>VLOOKUP(B105,Ingredients!$A$2:$G$229,5,FALSE)</f>
        <v>tablespoon</v>
      </c>
      <c r="E105" s="1">
        <f>VLOOKUP(B105,Ingredients!$A$2:$G$229,6,FALSE)*C105</f>
        <v>30.099999999999998</v>
      </c>
      <c r="F105" s="1">
        <f>IFERROR(VLOOKUP(B105,Ingredients!$A$2:$H$229,7,FALSE),0)*C105</f>
        <v>258</v>
      </c>
      <c r="G105" s="7">
        <f t="shared" si="7"/>
        <v>75.25</v>
      </c>
    </row>
    <row r="106" spans="1:7" x14ac:dyDescent="0.25">
      <c r="A106" s="20"/>
      <c r="B106" s="1" t="s">
        <v>24</v>
      </c>
      <c r="C106" s="1">
        <v>1.6</v>
      </c>
      <c r="D106" s="1" t="str">
        <f>VLOOKUP(B106,Ingredients!$A$2:$G$229,5,FALSE)</f>
        <v>tablespoon</v>
      </c>
      <c r="E106" s="1">
        <f>VLOOKUP(B106,Ingredients!$A$2:$G$229,6,FALSE)*C106</f>
        <v>24</v>
      </c>
      <c r="F106" s="1">
        <f>IFERROR(VLOOKUP(B106,Ingredients!$A$2:$H$229,7,FALSE),0)*C106</f>
        <v>96</v>
      </c>
      <c r="G106" s="7">
        <f t="shared" si="7"/>
        <v>56</v>
      </c>
    </row>
    <row r="107" spans="1:7" x14ac:dyDescent="0.25">
      <c r="A107" s="20"/>
      <c r="B107" s="1" t="s">
        <v>89</v>
      </c>
      <c r="C107" s="1">
        <v>1.75</v>
      </c>
      <c r="D107" s="1" t="str">
        <f>VLOOKUP(B107,Ingredients!$A$2:$G$229,5,FALSE)</f>
        <v>tablespoon</v>
      </c>
      <c r="E107" s="1">
        <f>VLOOKUP(B107,Ingredients!$A$2:$G$229,6,FALSE)*C107</f>
        <v>24.5</v>
      </c>
      <c r="F107" s="1">
        <f>IFERROR(VLOOKUP(B107,Ingredients!$A$2:$H$229,7,FALSE),0)*C107</f>
        <v>70</v>
      </c>
      <c r="G107" s="7">
        <f t="shared" si="7"/>
        <v>61.25</v>
      </c>
    </row>
    <row r="108" spans="1:7" x14ac:dyDescent="0.25">
      <c r="A108" s="20"/>
      <c r="B108" s="1" t="s">
        <v>84</v>
      </c>
      <c r="C108" s="1">
        <v>0.15</v>
      </c>
      <c r="D108" s="1" t="str">
        <f>VLOOKUP(B108,Ingredients!$A$2:$G$229,5,FALSE)</f>
        <v>mass (g)</v>
      </c>
      <c r="E108" s="1">
        <f>VLOOKUP(B108,Ingredients!$A$2:$G$229,6,FALSE)*C108</f>
        <v>1.5</v>
      </c>
      <c r="F108" s="1">
        <f>IFERROR(VLOOKUP(B108,Ingredients!$A$2:$H$229,7,FALSE),0)*C108</f>
        <v>4.8</v>
      </c>
      <c r="G108" s="7">
        <f t="shared" si="7"/>
        <v>5.25</v>
      </c>
    </row>
    <row r="109" spans="1:7" x14ac:dyDescent="0.25">
      <c r="A109" s="20"/>
      <c r="B109" s="1" t="s">
        <v>99</v>
      </c>
      <c r="C109" s="1">
        <v>0.3</v>
      </c>
      <c r="D109" s="1" t="str">
        <f>VLOOKUP(B109,Ingredients!$A$2:$G$229,5,FALSE)</f>
        <v>tablespoon</v>
      </c>
      <c r="E109" s="1">
        <f>VLOOKUP(B109,Ingredients!$A$2:$G$229,6,FALSE)*C109</f>
        <v>1.5</v>
      </c>
      <c r="F109" s="1">
        <f>IFERROR(VLOOKUP(B109,Ingredients!$A$2:$H$229,7,FALSE),0)*C109</f>
        <v>3.3</v>
      </c>
      <c r="G109" s="7">
        <f t="shared" si="7"/>
        <v>10.5</v>
      </c>
    </row>
    <row r="110" spans="1:7" x14ac:dyDescent="0.25">
      <c r="A110" s="69" t="s">
        <v>158</v>
      </c>
      <c r="B110" s="70"/>
      <c r="C110" s="4">
        <v>1</v>
      </c>
      <c r="D110" s="4" t="s">
        <v>137</v>
      </c>
      <c r="E110" s="4">
        <f>SUM(E111)</f>
        <v>98.571428571428569</v>
      </c>
      <c r="F110" s="4">
        <f>SUM(F111)</f>
        <v>342.85714285714283</v>
      </c>
      <c r="G110" s="30">
        <f>SUM(SUMIF(Meals!C:C,A110,Meals!H:H),SUMIF(Meals!K:K,A110,Meals!P:P))</f>
        <v>63.45</v>
      </c>
    </row>
    <row r="111" spans="1:7" x14ac:dyDescent="0.25">
      <c r="A111" s="20"/>
      <c r="B111" s="1" t="s">
        <v>106</v>
      </c>
      <c r="C111" s="111">
        <f>1.5/0.35</f>
        <v>4.2857142857142856</v>
      </c>
      <c r="D111" s="1" t="str">
        <f>VLOOKUP(B111,Ingredients!$A$2:$G$229,5,FALSE)</f>
        <v>tablespoon (makes 0.35 L)</v>
      </c>
      <c r="E111" s="1">
        <f>VLOOKUP(B111,Ingredients!$A$2:$G$229,6,FALSE)*C111</f>
        <v>98.571428571428569</v>
      </c>
      <c r="F111" s="1">
        <f>IFERROR(VLOOKUP(B111,Ingredients!$A$2:$H$229,7,FALSE),0)*C111</f>
        <v>342.85714285714283</v>
      </c>
      <c r="G111" s="7">
        <f>$G$110*C111</f>
        <v>271.92857142857144</v>
      </c>
    </row>
    <row r="112" spans="1:7" x14ac:dyDescent="0.25">
      <c r="A112" s="69" t="s">
        <v>159</v>
      </c>
      <c r="B112" s="70"/>
      <c r="C112" s="4">
        <v>1</v>
      </c>
      <c r="D112" s="4" t="s">
        <v>137</v>
      </c>
      <c r="E112" s="4">
        <f>SUM(E113:E118)</f>
        <v>157.4</v>
      </c>
      <c r="F112" s="4">
        <f>SUM(F113:F118)</f>
        <v>756.72</v>
      </c>
      <c r="G112" s="30">
        <f>SUM(SUMIF(Meals!C:C,A112,Meals!H:H),SUMIF(Meals!K:K,A112,Meals!P:P))</f>
        <v>15</v>
      </c>
    </row>
    <row r="113" spans="1:7" x14ac:dyDescent="0.25">
      <c r="A113" s="117"/>
      <c r="B113" s="118" t="s">
        <v>34</v>
      </c>
      <c r="C113" s="144">
        <v>2</v>
      </c>
      <c r="D113" s="118" t="str">
        <f>VLOOKUP(B113,Ingredients!$A$2:$G$229,5,FALSE)</f>
        <v>Brick of noodles (1/5 of package)</v>
      </c>
      <c r="E113" s="118">
        <f>VLOOKUP(B113,Ingredients!$A$2:$G$229,6,FALSE)*C113</f>
        <v>90</v>
      </c>
      <c r="F113" s="118">
        <f>IFERROR(VLOOKUP(B113,Ingredients!$A$2:$H$229,7,FALSE),0)*C113</f>
        <v>336</v>
      </c>
      <c r="G113" s="119">
        <f>$G$112*C113</f>
        <v>30</v>
      </c>
    </row>
    <row r="114" spans="1:7" x14ac:dyDescent="0.25">
      <c r="A114" s="117"/>
      <c r="B114" s="118" t="s">
        <v>32</v>
      </c>
      <c r="C114" s="144">
        <v>0.14000000000000001</v>
      </c>
      <c r="D114" s="118" t="str">
        <f>VLOOKUP(B114,Ingredients!$A$2:$G$229,5,FALSE)</f>
        <v>cup</v>
      </c>
      <c r="E114" s="118">
        <f>VLOOKUP(B114,Ingredients!$A$2:$G$229,6,FALSE)*C114</f>
        <v>21.000000000000004</v>
      </c>
      <c r="F114" s="118">
        <f>IFERROR(VLOOKUP(B114,Ingredients!$A$2:$H$229,7,FALSE),0)*C114</f>
        <v>115.92000000000002</v>
      </c>
      <c r="G114" s="119">
        <f>$G$112*C114</f>
        <v>2.1</v>
      </c>
    </row>
    <row r="115" spans="1:7" x14ac:dyDescent="0.25">
      <c r="A115" s="117"/>
      <c r="B115" s="118" t="s">
        <v>47</v>
      </c>
      <c r="C115" s="118">
        <v>2.2000000000000002</v>
      </c>
      <c r="D115" s="118" t="str">
        <f>VLOOKUP(B115,Ingredients!$A$2:$G$229,5,FALSE)</f>
        <v>tablespoon</v>
      </c>
      <c r="E115" s="118">
        <f>VLOOKUP(B115,Ingredients!$A$2:$G$229,6,FALSE)*C115</f>
        <v>33</v>
      </c>
      <c r="F115" s="118">
        <f>IFERROR(VLOOKUP(B115,Ingredients!$A$2:$H$229,7,FALSE),0)*C115</f>
        <v>198.00000000000003</v>
      </c>
      <c r="G115" s="119">
        <f>$G$112*C115</f>
        <v>33</v>
      </c>
    </row>
    <row r="116" spans="1:7" x14ac:dyDescent="0.25">
      <c r="A116" s="117"/>
      <c r="B116" s="118" t="s">
        <v>28</v>
      </c>
      <c r="C116" s="118">
        <v>0.85</v>
      </c>
      <c r="D116" s="118" t="str">
        <f>VLOOKUP(B116,Ingredients!$A$2:$G$229,5,FALSE)</f>
        <v>tablespoon</v>
      </c>
      <c r="E116" s="118">
        <f>VLOOKUP(B116,Ingredients!$A$2:$G$229,6,FALSE)*C116</f>
        <v>11.9</v>
      </c>
      <c r="F116" s="118">
        <f>IFERROR(VLOOKUP(B116,Ingredients!$A$2:$H$229,7,FALSE),0)*C116</f>
        <v>102</v>
      </c>
      <c r="G116" s="119">
        <f>$G$112*C116</f>
        <v>12.75</v>
      </c>
    </row>
    <row r="117" spans="1:7" x14ac:dyDescent="0.25">
      <c r="A117" s="117"/>
      <c r="B117" s="118" t="s">
        <v>84</v>
      </c>
      <c r="C117" s="118">
        <v>0.15</v>
      </c>
      <c r="D117" s="118" t="str">
        <f>VLOOKUP(B117,Ingredients!$A$2:$G$229,5,FALSE)</f>
        <v>mass (g)</v>
      </c>
      <c r="E117" s="118">
        <f>VLOOKUP(B117,Ingredients!$A$2:$G$229,6,FALSE)*C117</f>
        <v>1.5</v>
      </c>
      <c r="F117" s="118">
        <f>IFERROR(VLOOKUP(B117,Ingredients!$A$2:$H$229,7,FALSE),0)*C117</f>
        <v>4.8</v>
      </c>
      <c r="G117" s="119">
        <f>$G$112*C117</f>
        <v>2.25</v>
      </c>
    </row>
    <row r="118" spans="1:7" x14ac:dyDescent="0.25">
      <c r="A118" s="117"/>
      <c r="B118" s="118"/>
      <c r="C118" s="118"/>
      <c r="D118" s="118"/>
      <c r="E118" s="118"/>
      <c r="F118" s="118"/>
      <c r="G118" s="119"/>
    </row>
    <row r="119" spans="1:7" x14ac:dyDescent="0.25">
      <c r="A119" s="69" t="s">
        <v>160</v>
      </c>
      <c r="B119" s="70"/>
      <c r="C119" s="4">
        <v>1</v>
      </c>
      <c r="D119" s="4" t="s">
        <v>137</v>
      </c>
      <c r="E119" s="4">
        <f>SUM(E120:E122)</f>
        <v>70</v>
      </c>
      <c r="F119" s="4">
        <f>SUM(F120:F122)</f>
        <v>309.89999999999998</v>
      </c>
      <c r="G119" s="30">
        <f>SUM(SUMIF(Meals!C:C,A119,Meals!H:H),SUMIF(Meals!K:K,A119,Meals!P:P))</f>
        <v>16</v>
      </c>
    </row>
    <row r="120" spans="1:7" x14ac:dyDescent="0.25">
      <c r="A120" s="20"/>
      <c r="B120" s="1" t="s">
        <v>108</v>
      </c>
      <c r="C120" s="2">
        <v>1</v>
      </c>
      <c r="D120" s="1" t="str">
        <f>VLOOKUP(B120,Ingredients!$A$2:$G$229,5,FALSE)</f>
        <v>package</v>
      </c>
      <c r="E120" s="1">
        <f>VLOOKUP(B120,Ingredients!$A$2:$G$229,6,FALSE)*C120</f>
        <v>40</v>
      </c>
      <c r="F120" s="1">
        <f>IFERROR(VLOOKUP(B120,Ingredients!$A$2:$H$229,7,FALSE),0)*C120</f>
        <v>150</v>
      </c>
      <c r="G120" s="7">
        <f>$G$119*C120</f>
        <v>16</v>
      </c>
    </row>
    <row r="121" spans="1:7" x14ac:dyDescent="0.25">
      <c r="A121" s="20"/>
      <c r="B121" s="1" t="s">
        <v>36</v>
      </c>
      <c r="C121" s="2">
        <v>3</v>
      </c>
      <c r="D121" s="1" t="str">
        <f>VLOOKUP(B121,Ingredients!$A$2:$G$229,5,FALSE)</f>
        <v>tablespoon</v>
      </c>
      <c r="E121" s="1">
        <f>VLOOKUP(B121,Ingredients!$A$2:$G$229,6,FALSE)*C121</f>
        <v>30</v>
      </c>
      <c r="F121" s="1">
        <f>IFERROR(VLOOKUP(B121,Ingredients!$A$2:$H$229,7,FALSE),0)*C121</f>
        <v>159.89999999999998</v>
      </c>
      <c r="G121" s="7">
        <f>$G$119*C121</f>
        <v>48</v>
      </c>
    </row>
    <row r="122" spans="1:7" x14ac:dyDescent="0.25">
      <c r="A122" s="20"/>
      <c r="B122" s="1"/>
      <c r="C122" s="1"/>
      <c r="D122" s="1"/>
      <c r="E122" s="1"/>
      <c r="F122" s="1"/>
      <c r="G122" s="7"/>
    </row>
    <row r="123" spans="1:7" x14ac:dyDescent="0.25">
      <c r="A123" s="69" t="s">
        <v>161</v>
      </c>
      <c r="B123" s="70"/>
      <c r="C123" s="4">
        <v>1</v>
      </c>
      <c r="D123" s="4" t="s">
        <v>137</v>
      </c>
      <c r="E123" s="4">
        <f>SUM(E124)</f>
        <v>15</v>
      </c>
      <c r="F123" s="4">
        <f>SUM(F124)</f>
        <v>90</v>
      </c>
      <c r="G123" s="30">
        <f>SUM(SUMIF(Meals!C:C,A123,Meals!H:H),SUMIF(Meals!K:K,A123,Meals!P:P))</f>
        <v>283</v>
      </c>
    </row>
    <row r="124" spans="1:7" x14ac:dyDescent="0.25">
      <c r="A124" s="20"/>
      <c r="B124" s="1" t="s">
        <v>47</v>
      </c>
      <c r="C124" s="2">
        <v>1</v>
      </c>
      <c r="D124" s="1" t="str">
        <f>VLOOKUP(B124,Ingredients!$A$2:$G$229,5,FALSE)</f>
        <v>tablespoon</v>
      </c>
      <c r="E124" s="1">
        <f>VLOOKUP(B124,Ingredients!$A$2:$G$229,6,FALSE)*C124</f>
        <v>15</v>
      </c>
      <c r="F124" s="1">
        <f>IFERROR(VLOOKUP(B124,Ingredients!$A$2:$H$229,7,FALSE),0)*C124</f>
        <v>90</v>
      </c>
      <c r="G124" s="7">
        <f>G123*C124</f>
        <v>283</v>
      </c>
    </row>
    <row r="125" spans="1:7" x14ac:dyDescent="0.25">
      <c r="A125" s="20"/>
      <c r="B125" s="1"/>
      <c r="C125" s="2"/>
      <c r="D125" s="1"/>
      <c r="E125" s="1"/>
      <c r="F125" s="1"/>
      <c r="G125" s="7"/>
    </row>
    <row r="126" spans="1:7" x14ac:dyDescent="0.25">
      <c r="A126" s="69" t="s">
        <v>162</v>
      </c>
      <c r="B126" s="70"/>
      <c r="C126" s="4">
        <v>1</v>
      </c>
      <c r="D126" s="4" t="s">
        <v>137</v>
      </c>
      <c r="E126" s="4">
        <f>SUM(E127)</f>
        <v>50</v>
      </c>
      <c r="F126" s="4">
        <f>SUM(F127)</f>
        <v>280</v>
      </c>
      <c r="G126" s="30">
        <f>SUM(SUMIF(Meals!C:C,A126,Meals!H:H),SUMIF(Meals!K:K,A126,Meals!P:P))</f>
        <v>82</v>
      </c>
    </row>
    <row r="127" spans="1:7" x14ac:dyDescent="0.25">
      <c r="A127" s="20"/>
      <c r="B127" s="1" t="s">
        <v>87</v>
      </c>
      <c r="C127" s="2">
        <v>1</v>
      </c>
      <c r="D127" s="1" t="str">
        <f>VLOOKUP(B127,Ingredients!$A$2:$G$229,5,FALSE)</f>
        <v>57 chips (1/7 of bag)</v>
      </c>
      <c r="E127" s="1">
        <f>VLOOKUP(B127,Ingredients!$A$2:$G$229,6,FALSE)*C127</f>
        <v>50</v>
      </c>
      <c r="F127" s="1">
        <f>IFERROR(VLOOKUP(B127,Ingredients!$A$2:$H$229,7,FALSE),0)*C127</f>
        <v>280</v>
      </c>
      <c r="G127" s="7">
        <f>G126*C127</f>
        <v>82</v>
      </c>
    </row>
    <row r="128" spans="1:7" x14ac:dyDescent="0.25">
      <c r="A128" s="20"/>
      <c r="B128" s="1"/>
      <c r="C128" s="2"/>
      <c r="D128" s="1"/>
      <c r="E128" s="1"/>
      <c r="F128" s="1"/>
      <c r="G128" s="7"/>
    </row>
    <row r="129" spans="1:7" x14ac:dyDescent="0.25">
      <c r="A129" s="69" t="s">
        <v>163</v>
      </c>
      <c r="B129" s="70"/>
      <c r="C129" s="4">
        <v>1</v>
      </c>
      <c r="D129" s="4" t="s">
        <v>137</v>
      </c>
      <c r="E129" s="4">
        <f>SUM(E130)</f>
        <v>70</v>
      </c>
      <c r="F129" s="4">
        <f>SUM(F130)</f>
        <v>290</v>
      </c>
      <c r="G129" s="30">
        <f>SUM(SUMIF(Meals!C:C,A129,Meals!H:H),SUMIF(Meals!K:K,A129,Meals!P:P))</f>
        <v>15</v>
      </c>
    </row>
    <row r="130" spans="1:7" x14ac:dyDescent="0.25">
      <c r="A130" s="20"/>
      <c r="B130" s="1" t="s">
        <v>115</v>
      </c>
      <c r="C130" s="2">
        <v>1</v>
      </c>
      <c r="D130" s="1" t="str">
        <f>VLOOKUP(B130,Ingredients!$A$2:$G$229,5,FALSE)</f>
        <v>bar</v>
      </c>
      <c r="E130" s="1">
        <f>VLOOKUP(B130,Ingredients!$A$2:$G$229,6,FALSE)*C130</f>
        <v>70</v>
      </c>
      <c r="F130" s="1">
        <f>IFERROR(VLOOKUP(B130,Ingredients!$A$2:$H$229,7,FALSE),0)*C130</f>
        <v>290</v>
      </c>
      <c r="G130" s="7">
        <f>G129*C130</f>
        <v>15</v>
      </c>
    </row>
    <row r="131" spans="1:7" x14ac:dyDescent="0.25">
      <c r="A131" s="20"/>
      <c r="B131" s="1"/>
      <c r="C131" s="2"/>
      <c r="D131" s="1"/>
      <c r="E131" s="1"/>
      <c r="F131" s="1"/>
      <c r="G131" s="7"/>
    </row>
    <row r="132" spans="1:7" x14ac:dyDescent="0.25">
      <c r="A132" s="69" t="s">
        <v>100</v>
      </c>
      <c r="B132" s="70"/>
      <c r="C132" s="4">
        <v>1</v>
      </c>
      <c r="D132" s="4" t="s">
        <v>137</v>
      </c>
      <c r="E132" s="4">
        <f>SUM(E133)</f>
        <v>68</v>
      </c>
      <c r="F132" s="4">
        <f>SUM(F133)</f>
        <v>250</v>
      </c>
      <c r="G132" s="30">
        <f>SUM(SUMIF(Meals!C:C,A132,Meals!H:H),SUMIF(Meals!K:K,A132,Meals!P:P))</f>
        <v>70.5</v>
      </c>
    </row>
    <row r="133" spans="1:7" x14ac:dyDescent="0.25">
      <c r="A133" s="20"/>
      <c r="B133" s="1" t="s">
        <v>100</v>
      </c>
      <c r="C133" s="2">
        <v>1</v>
      </c>
      <c r="D133" s="1" t="str">
        <f>VLOOKUP(B133,Ingredients!$A$2:$G$229,5,FALSE)</f>
        <v>bar</v>
      </c>
      <c r="E133" s="1">
        <f>VLOOKUP(B133,Ingredients!$A$2:$G$229,6,FALSE)*C133</f>
        <v>68</v>
      </c>
      <c r="F133" s="1">
        <f>IFERROR(VLOOKUP(B133,Ingredients!$A$2:$H$229,7,FALSE),0)*C133</f>
        <v>250</v>
      </c>
      <c r="G133" s="7">
        <f>G132*C133</f>
        <v>70.5</v>
      </c>
    </row>
    <row r="134" spans="1:7" x14ac:dyDescent="0.25">
      <c r="A134" s="20"/>
      <c r="B134" s="1"/>
      <c r="C134" s="2"/>
      <c r="D134" s="1"/>
      <c r="E134" s="1"/>
      <c r="F134" s="1"/>
      <c r="G134" s="7"/>
    </row>
    <row r="135" spans="1:7" x14ac:dyDescent="0.25">
      <c r="A135" s="69" t="s">
        <v>102</v>
      </c>
      <c r="B135" s="70"/>
      <c r="C135" s="4">
        <v>1</v>
      </c>
      <c r="D135" s="4" t="s">
        <v>137</v>
      </c>
      <c r="E135" s="4">
        <f>SUM(E136)</f>
        <v>40</v>
      </c>
      <c r="F135" s="4">
        <f>SUM(F136)</f>
        <v>200</v>
      </c>
      <c r="G135" s="30">
        <f>SUM(SUMIF(Meals!C:C,A135,Meals!H:H),SUMIF(Meals!K:K,A135,Meals!P:P))</f>
        <v>70.5</v>
      </c>
    </row>
    <row r="136" spans="1:7" x14ac:dyDescent="0.25">
      <c r="A136" s="20"/>
      <c r="B136" s="1" t="s">
        <v>102</v>
      </c>
      <c r="C136" s="2">
        <v>1</v>
      </c>
      <c r="D136" s="1" t="str">
        <f>VLOOKUP(B136,Ingredients!$A$2:$G$229,5,FALSE)</f>
        <v>bar</v>
      </c>
      <c r="E136" s="1">
        <f>VLOOKUP(B136,Ingredients!$A$2:$G$229,6,FALSE)*C136</f>
        <v>40</v>
      </c>
      <c r="F136" s="1">
        <f>IFERROR(VLOOKUP(B136,Ingredients!$A$2:$H$229,7,FALSE),0)*C136</f>
        <v>200</v>
      </c>
      <c r="G136" s="7">
        <f>G135*C136</f>
        <v>70.5</v>
      </c>
    </row>
    <row r="137" spans="1:7" x14ac:dyDescent="0.25">
      <c r="A137" s="20"/>
      <c r="B137" s="1"/>
      <c r="C137" s="2"/>
      <c r="D137" s="1"/>
      <c r="E137" s="1"/>
      <c r="F137" s="1"/>
      <c r="G137" s="7"/>
    </row>
    <row r="138" spans="1:7" x14ac:dyDescent="0.25">
      <c r="A138" s="69" t="s">
        <v>164</v>
      </c>
      <c r="B138" s="70"/>
      <c r="C138" s="4">
        <v>1</v>
      </c>
      <c r="D138" s="4" t="s">
        <v>137</v>
      </c>
      <c r="E138" s="4">
        <f>SUM(E139)</f>
        <v>57</v>
      </c>
      <c r="F138" s="4">
        <f>SUM(F139)</f>
        <v>263</v>
      </c>
      <c r="G138" s="30">
        <f>SUM(SUMIF(Meals!C:C,A138,Meals!H:H),SUMIF(Meals!K:K,A138,Meals!P:P))</f>
        <v>42.77</v>
      </c>
    </row>
    <row r="139" spans="1:7" x14ac:dyDescent="0.25">
      <c r="A139" s="20"/>
      <c r="B139" s="1" t="s">
        <v>118</v>
      </c>
      <c r="C139" s="2">
        <v>1</v>
      </c>
      <c r="D139" s="1" t="str">
        <f>VLOOKUP(B139,Ingredients!$A$2:$G$229,5,FALSE)</f>
        <v>bar</v>
      </c>
      <c r="E139" s="1">
        <f>VLOOKUP(B139,Ingredients!$A$2:$G$229,6,FALSE)*C139</f>
        <v>57</v>
      </c>
      <c r="F139" s="1">
        <f>IFERROR(VLOOKUP(B139,Ingredients!$A$2:$H$229,7,FALSE),0)*C139</f>
        <v>263</v>
      </c>
      <c r="G139" s="7">
        <f>G138*C139</f>
        <v>42.77</v>
      </c>
    </row>
    <row r="140" spans="1:7" x14ac:dyDescent="0.25">
      <c r="A140" s="20"/>
      <c r="B140" s="1"/>
      <c r="C140" s="2"/>
      <c r="D140" s="1"/>
      <c r="E140" s="1"/>
      <c r="F140" s="1"/>
      <c r="G140" s="7"/>
    </row>
    <row r="141" spans="1:7" x14ac:dyDescent="0.25">
      <c r="A141" s="69" t="s">
        <v>165</v>
      </c>
      <c r="B141" s="70"/>
      <c r="C141" s="4">
        <v>1</v>
      </c>
      <c r="D141" s="4" t="s">
        <v>137</v>
      </c>
      <c r="E141" s="4">
        <f>SUM(E142)</f>
        <v>43</v>
      </c>
      <c r="F141" s="4">
        <f>SUM(F142)</f>
        <v>220</v>
      </c>
      <c r="G141" s="30">
        <f>SUM(SUMIF(Meals!C:C,A141,Meals!H:H),SUMIF(Meals!K:K,A141,Meals!P:P))</f>
        <v>33.839999999999996</v>
      </c>
    </row>
    <row r="142" spans="1:7" x14ac:dyDescent="0.25">
      <c r="A142" s="20"/>
      <c r="B142" s="1" t="s">
        <v>119</v>
      </c>
      <c r="C142" s="2">
        <v>1</v>
      </c>
      <c r="D142" s="1" t="str">
        <f>VLOOKUP(B142,Ingredients!$A$2:$G$229,5,FALSE)</f>
        <v>bar</v>
      </c>
      <c r="E142" s="1">
        <f>VLOOKUP(B142,Ingredients!$A$2:$G$229,6,FALSE)*C142</f>
        <v>43</v>
      </c>
      <c r="F142" s="1">
        <f>IFERROR(VLOOKUP(B142,Ingredients!$A$2:$H$229,7,FALSE),0)*C142</f>
        <v>220</v>
      </c>
      <c r="G142" s="7">
        <f>G141*C142</f>
        <v>33.839999999999996</v>
      </c>
    </row>
    <row r="143" spans="1:7" x14ac:dyDescent="0.25">
      <c r="A143" s="20"/>
      <c r="B143" s="1"/>
      <c r="C143" s="2"/>
      <c r="D143" s="1"/>
      <c r="E143" s="1"/>
      <c r="F143" s="1"/>
      <c r="G143" s="7"/>
    </row>
    <row r="144" spans="1:7" x14ac:dyDescent="0.25">
      <c r="A144" s="69" t="s">
        <v>62</v>
      </c>
      <c r="B144" s="70"/>
      <c r="C144" s="4">
        <v>1</v>
      </c>
      <c r="D144" s="4" t="s">
        <v>137</v>
      </c>
      <c r="E144" s="4">
        <f>SUM(E145)</f>
        <v>52</v>
      </c>
      <c r="F144" s="4">
        <f>SUM(F145)</f>
        <v>250</v>
      </c>
      <c r="G144" s="30">
        <f>SUM(SUMIF(Meals!C:C,A144,Meals!H:H),SUMIF(Meals!K:K,A144,Meals!P:P))</f>
        <v>47</v>
      </c>
    </row>
    <row r="145" spans="1:7" x14ac:dyDescent="0.25">
      <c r="A145" s="20"/>
      <c r="B145" s="1" t="s">
        <v>62</v>
      </c>
      <c r="C145" s="2">
        <v>1</v>
      </c>
      <c r="D145" s="1" t="str">
        <f>VLOOKUP(B145,Ingredients!$A$2:$G$229,5,FALSE)</f>
        <v>bar</v>
      </c>
      <c r="E145" s="1">
        <f>VLOOKUP(B145,Ingredients!$A$2:$G$229,6,FALSE)*C145</f>
        <v>52</v>
      </c>
      <c r="F145" s="1">
        <f>IFERROR(VLOOKUP(B145,Ingredients!$A$2:$H$229,7,FALSE),0)*C145</f>
        <v>250</v>
      </c>
      <c r="G145" s="7">
        <f>G144*C145</f>
        <v>47</v>
      </c>
    </row>
    <row r="146" spans="1:7" x14ac:dyDescent="0.25">
      <c r="A146" s="20"/>
      <c r="B146" s="1"/>
      <c r="C146" s="2"/>
      <c r="D146" s="1"/>
      <c r="E146" s="1"/>
      <c r="F146" s="1"/>
      <c r="G146" s="7"/>
    </row>
  </sheetData>
  <autoFilter ref="A1:J8" xr:uid="{00000000-0009-0000-0000-000002000000}">
    <filterColumn colId="0" showButton="0"/>
    <filterColumn colId="9" showButton="0"/>
  </autoFilter>
  <dataValidations count="1">
    <dataValidation type="list" allowBlank="1" showInputMessage="1" showErrorMessage="1" sqref="B111 B142:B143 B139:B140 B136:B137 B55:B57 B113:B118 B3:B9 B91:B96 B88:B89 B82:B86 B120:B122 B73:B74 B70:B71 B65:B68 B76:B80 B51:B53 B104:B109 B42:B44 B34:B40 B29:B32 B20:B27 B11:B18 B98:B99 B101:B102 B46 B59:B60 B62:B63 B124:B125 B127:B128 B130:B131 B133:B134 B48:B49 B145:B146" xr:uid="{00000000-0002-0000-0200-000000000000}">
      <formula1>$K$2:$K$96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59999389629810485"/>
  </sheetPr>
  <dimension ref="A1:R154"/>
  <sheetViews>
    <sheetView tabSelected="1" topLeftCell="A28" workbookViewId="0">
      <selection activeCell="R3" sqref="R3"/>
    </sheetView>
  </sheetViews>
  <sheetFormatPr defaultRowHeight="15" x14ac:dyDescent="0.25"/>
  <cols>
    <col min="1" max="1" width="10" customWidth="1"/>
    <col min="2" max="2" width="21.28515625" customWidth="1"/>
    <col min="3" max="3" width="48.28515625" customWidth="1"/>
    <col min="4" max="4" width="8.85546875" customWidth="1"/>
    <col min="5" max="7" width="11.7109375" customWidth="1"/>
    <col min="8" max="8" width="23.85546875" customWidth="1"/>
    <col min="9" max="9" width="8.140625" customWidth="1"/>
    <col min="10" max="10" width="21.28515625" customWidth="1"/>
    <col min="11" max="11" width="48.28515625" customWidth="1"/>
    <col min="12" max="12" width="8.85546875" customWidth="1"/>
    <col min="13" max="15" width="11.7109375" customWidth="1"/>
    <col min="16" max="16" width="23.85546875" customWidth="1"/>
  </cols>
  <sheetData>
    <row r="1" spans="1:18" ht="15.75" thickBot="1" x14ac:dyDescent="0.3">
      <c r="A1" s="137"/>
      <c r="B1" s="180" t="s">
        <v>166</v>
      </c>
      <c r="C1" s="181"/>
      <c r="D1" s="181"/>
      <c r="E1" s="181"/>
      <c r="F1" s="181"/>
      <c r="G1" s="181"/>
      <c r="H1" s="182"/>
      <c r="I1" s="109"/>
      <c r="J1" s="183" t="s">
        <v>167</v>
      </c>
      <c r="K1" s="184"/>
      <c r="L1" s="184"/>
      <c r="M1" s="184"/>
      <c r="N1" s="184"/>
      <c r="O1" s="184"/>
      <c r="P1" s="185"/>
    </row>
    <row r="2" spans="1:18" ht="15.75" thickBot="1" x14ac:dyDescent="0.3">
      <c r="A2" s="137" t="s">
        <v>168</v>
      </c>
      <c r="B2" s="139" t="s">
        <v>169</v>
      </c>
      <c r="C2" s="139" t="s">
        <v>170</v>
      </c>
      <c r="D2" s="139" t="s">
        <v>171</v>
      </c>
      <c r="E2" s="139" t="s">
        <v>172</v>
      </c>
      <c r="F2" s="139" t="s">
        <v>132</v>
      </c>
      <c r="G2" s="140" t="s">
        <v>173</v>
      </c>
      <c r="H2" s="140" t="s">
        <v>174</v>
      </c>
      <c r="I2" s="109"/>
      <c r="J2" s="141" t="s">
        <v>169</v>
      </c>
      <c r="K2" s="142" t="s">
        <v>170</v>
      </c>
      <c r="L2" s="142" t="s">
        <v>171</v>
      </c>
      <c r="M2" s="142" t="s">
        <v>172</v>
      </c>
      <c r="N2" s="142" t="s">
        <v>132</v>
      </c>
      <c r="O2" s="143" t="s">
        <v>173</v>
      </c>
      <c r="P2" s="143" t="s">
        <v>174</v>
      </c>
      <c r="R2">
        <f>SUM(P3,P31,P59,P87,P115)</f>
        <v>47</v>
      </c>
    </row>
    <row r="3" spans="1:18" ht="15.75" thickBot="1" x14ac:dyDescent="0.3">
      <c r="A3" s="134" t="s">
        <v>175</v>
      </c>
      <c r="B3" s="135"/>
      <c r="C3" s="135"/>
      <c r="D3" s="135"/>
      <c r="E3" s="145">
        <f>SUM(E4:E30)</f>
        <v>849.33</v>
      </c>
      <c r="F3" s="145">
        <f>SUM(F4:F30)</f>
        <v>3461.73</v>
      </c>
      <c r="G3" s="164">
        <f>IFERROR(F3/E3,"")</f>
        <v>4.0758362473950056</v>
      </c>
      <c r="H3" s="146">
        <f>COUNTIF(Meal_Itinerary!C:C,Meals!A3)</f>
        <v>16</v>
      </c>
      <c r="I3" s="109"/>
      <c r="J3" s="138"/>
      <c r="K3" s="135"/>
      <c r="L3" s="135"/>
      <c r="M3" s="148">
        <f>SUM(M4:M30)</f>
        <v>928.2714285714286</v>
      </c>
      <c r="N3" s="148">
        <f>SUM(N4:N30)</f>
        <v>3645.9571428571426</v>
      </c>
      <c r="O3" s="160">
        <f>IFERROR(N3/M3,"")</f>
        <v>3.9276843287831449</v>
      </c>
      <c r="P3" s="147">
        <f>COUNTIF(Meal_Itinerary!E:E,Meals!A3)</f>
        <v>10</v>
      </c>
    </row>
    <row r="4" spans="1:18" x14ac:dyDescent="0.25">
      <c r="A4" s="23"/>
      <c r="B4" s="10" t="s">
        <v>176</v>
      </c>
      <c r="C4" s="10" t="s">
        <v>156</v>
      </c>
      <c r="D4" s="112">
        <v>1</v>
      </c>
      <c r="E4" s="112">
        <f>IFERROR(VLOOKUP(C4,Recipes!$A$2:$F$208,5,FALSE)*D4,"")</f>
        <v>100</v>
      </c>
      <c r="F4" s="112">
        <f>IFERROR(VLOOKUP(C4,Recipes!$A$2:$F$208,6,FALSE)*D4,"")</f>
        <v>400</v>
      </c>
      <c r="G4" s="161">
        <f>IFERROR(F4/E4,"")</f>
        <v>4</v>
      </c>
      <c r="H4" s="136">
        <f>$H$3*D4</f>
        <v>16</v>
      </c>
      <c r="I4" s="47"/>
      <c r="J4" s="23" t="s">
        <v>176</v>
      </c>
      <c r="K4" s="10" t="s">
        <v>146</v>
      </c>
      <c r="L4" s="112">
        <v>1</v>
      </c>
      <c r="M4" s="150">
        <f>IFERROR(VLOOKUP(K4,Recipes!$A$2:$F$208,5,FALSE)*L4,"")</f>
        <v>111.6</v>
      </c>
      <c r="N4" s="150">
        <f>IFERROR(VLOOKUP(K4,Recipes!$A$2:$F$208,6,FALSE)*L4,"")</f>
        <v>460</v>
      </c>
      <c r="O4" s="161">
        <f>IFERROR(N4/M4,"")</f>
        <v>4.1218637992831546</v>
      </c>
      <c r="P4" s="136">
        <f>$P$3*L4</f>
        <v>10</v>
      </c>
    </row>
    <row r="5" spans="1:18" x14ac:dyDescent="0.25">
      <c r="A5" s="20"/>
      <c r="B5" s="1" t="s">
        <v>177</v>
      </c>
      <c r="C5" s="1" t="s">
        <v>109</v>
      </c>
      <c r="D5" s="14">
        <v>0.5</v>
      </c>
      <c r="E5" s="14">
        <f>IFERROR(VLOOKUP(C5,Recipes!$A$2:$F$208,5,FALSE)*D5,"")</f>
        <v>75</v>
      </c>
      <c r="F5" s="14">
        <f>IFERROR(VLOOKUP(C5,Recipes!$A$2:$F$208,6,FALSE)*D5,"")</f>
        <v>50</v>
      </c>
      <c r="G5" s="162">
        <f t="shared" ref="G5:G30" si="0">IFERROR(F5/E5,"")</f>
        <v>0.66666666666666663</v>
      </c>
      <c r="H5" s="16">
        <f t="shared" ref="H5:H30" si="1">$H$3*D5</f>
        <v>8</v>
      </c>
      <c r="I5" s="47"/>
      <c r="J5" s="20" t="s">
        <v>178</v>
      </c>
      <c r="K5" s="1" t="s">
        <v>149</v>
      </c>
      <c r="L5" s="14">
        <v>1</v>
      </c>
      <c r="M5" s="151">
        <f>IFERROR(VLOOKUP(K5,Recipes!$A$2:$F$208,5,FALSE)*L5,"")</f>
        <v>184</v>
      </c>
      <c r="N5" s="151">
        <f>IFERROR(VLOOKUP(K5,Recipes!$A$2:$F$208,6,FALSE)*L5,"")</f>
        <v>950</v>
      </c>
      <c r="O5" s="162">
        <f t="shared" ref="O5:O30" si="2">IFERROR(N5/M5,"")</f>
        <v>5.1630434782608692</v>
      </c>
      <c r="P5" s="16">
        <f t="shared" ref="P5:P30" si="3">$P$3*L5</f>
        <v>10</v>
      </c>
    </row>
    <row r="6" spans="1:18" x14ac:dyDescent="0.25">
      <c r="A6" s="20"/>
      <c r="B6" s="1" t="s">
        <v>177</v>
      </c>
      <c r="C6" s="1" t="s">
        <v>143</v>
      </c>
      <c r="D6" s="14">
        <v>0.5</v>
      </c>
      <c r="E6" s="14">
        <f>IFERROR(VLOOKUP(C6,Recipes!$A$2:$F$208,5,FALSE)*D6,"")</f>
        <v>100</v>
      </c>
      <c r="F6" s="14">
        <f>IFERROR(VLOOKUP(C6,Recipes!$A$2:$F$208,6,FALSE)*D6,"")</f>
        <v>426</v>
      </c>
      <c r="G6" s="162">
        <f t="shared" si="0"/>
        <v>4.26</v>
      </c>
      <c r="H6" s="16">
        <f t="shared" si="1"/>
        <v>8</v>
      </c>
      <c r="I6" s="47"/>
      <c r="J6" s="20" t="s">
        <v>177</v>
      </c>
      <c r="K6" s="1" t="s">
        <v>144</v>
      </c>
      <c r="L6" s="14">
        <v>0.5</v>
      </c>
      <c r="M6" s="151">
        <f>IFERROR(VLOOKUP(K6,Recipes!$A$2:$F$208,5,FALSE)*L6,"")</f>
        <v>62.5</v>
      </c>
      <c r="N6" s="151">
        <f>IFERROR(VLOOKUP(K6,Recipes!$A$2:$F$208,6,FALSE)*L6,"")</f>
        <v>185</v>
      </c>
      <c r="O6" s="162">
        <f t="shared" si="2"/>
        <v>2.96</v>
      </c>
      <c r="P6" s="16">
        <f t="shared" si="3"/>
        <v>5</v>
      </c>
    </row>
    <row r="7" spans="1:18" x14ac:dyDescent="0.25">
      <c r="A7" s="20"/>
      <c r="B7" s="1" t="s">
        <v>178</v>
      </c>
      <c r="C7" s="1" t="s">
        <v>163</v>
      </c>
      <c r="D7" s="14">
        <v>0</v>
      </c>
      <c r="E7" s="14">
        <f>IFERROR(VLOOKUP(C7,Recipes!$A$2:$F$208,5,FALSE)*D7,"")</f>
        <v>0</v>
      </c>
      <c r="F7" s="14">
        <f>IFERROR(VLOOKUP(C7,Recipes!$A$2:$F$208,6,FALSE)*D7,"")</f>
        <v>0</v>
      </c>
      <c r="G7" s="162" t="str">
        <f t="shared" si="0"/>
        <v/>
      </c>
      <c r="H7" s="16">
        <f t="shared" si="1"/>
        <v>0</v>
      </c>
      <c r="I7" s="47"/>
      <c r="J7" s="20" t="s">
        <v>177</v>
      </c>
      <c r="K7" s="1" t="s">
        <v>109</v>
      </c>
      <c r="L7" s="14">
        <v>1</v>
      </c>
      <c r="M7" s="151">
        <f>IFERROR(VLOOKUP(K7,Recipes!$A$2:$F$208,5,FALSE)*L7,"")</f>
        <v>150</v>
      </c>
      <c r="N7" s="151">
        <f>IFERROR(VLOOKUP(K7,Recipes!$A$2:$F$208,6,FALSE)*L7,"")</f>
        <v>100</v>
      </c>
      <c r="O7" s="162">
        <f t="shared" si="2"/>
        <v>0.66666666666666663</v>
      </c>
      <c r="P7" s="16">
        <f t="shared" si="3"/>
        <v>10</v>
      </c>
    </row>
    <row r="8" spans="1:18" x14ac:dyDescent="0.25">
      <c r="A8" s="20"/>
      <c r="B8" s="1" t="s">
        <v>178</v>
      </c>
      <c r="C8" s="1" t="s">
        <v>100</v>
      </c>
      <c r="D8" s="14">
        <v>1.5</v>
      </c>
      <c r="E8" s="14">
        <f>IFERROR(VLOOKUP(C8,Recipes!$A$2:$F$208,5,FALSE)*D8,"")</f>
        <v>102</v>
      </c>
      <c r="F8" s="14">
        <f>IFERROR(VLOOKUP(C8,Recipes!$A$2:$F$208,6,FALSE)*D8,"")</f>
        <v>375</v>
      </c>
      <c r="G8" s="162">
        <f t="shared" si="0"/>
        <v>3.6764705882352939</v>
      </c>
      <c r="H8" s="16">
        <f t="shared" si="1"/>
        <v>24</v>
      </c>
      <c r="I8" s="47"/>
      <c r="J8" s="20" t="s">
        <v>177</v>
      </c>
      <c r="K8" s="1" t="s">
        <v>162</v>
      </c>
      <c r="L8" s="14">
        <v>3</v>
      </c>
      <c r="M8" s="151">
        <f>IFERROR(VLOOKUP(K8,Recipes!$A$2:$F$208,5,FALSE)*L8,"")</f>
        <v>150</v>
      </c>
      <c r="N8" s="151">
        <f>IFERROR(VLOOKUP(K8,Recipes!$A$2:$F$208,6,FALSE)*L8,"")</f>
        <v>840</v>
      </c>
      <c r="O8" s="162">
        <f t="shared" si="2"/>
        <v>5.6</v>
      </c>
      <c r="P8" s="16">
        <f t="shared" si="3"/>
        <v>30</v>
      </c>
    </row>
    <row r="9" spans="1:18" x14ac:dyDescent="0.25">
      <c r="A9" s="20"/>
      <c r="B9" s="1" t="s">
        <v>178</v>
      </c>
      <c r="C9" s="1" t="s">
        <v>102</v>
      </c>
      <c r="D9" s="14">
        <v>1.5</v>
      </c>
      <c r="E9" s="14">
        <f>IFERROR(VLOOKUP(C9,Recipes!$A$2:$F$208,5,FALSE)*D9,"")</f>
        <v>60</v>
      </c>
      <c r="F9" s="14">
        <f>IFERROR(VLOOKUP(C9,Recipes!$A$2:$F$208,6,FALSE)*D9,"")</f>
        <v>300</v>
      </c>
      <c r="G9" s="162">
        <f t="shared" si="0"/>
        <v>5</v>
      </c>
      <c r="H9" s="16">
        <f t="shared" si="1"/>
        <v>24</v>
      </c>
      <c r="I9" s="47"/>
      <c r="J9" s="20" t="s">
        <v>178</v>
      </c>
      <c r="K9" s="1" t="s">
        <v>158</v>
      </c>
      <c r="L9" s="14">
        <v>1</v>
      </c>
      <c r="M9" s="151">
        <f>IFERROR(VLOOKUP(K9,Recipes!$A$2:$F$208,5,FALSE)*L9,"")</f>
        <v>98.571428571428569</v>
      </c>
      <c r="N9" s="151">
        <f>IFERROR(VLOOKUP(K9,Recipes!$A$2:$F$208,6,FALSE)*L9,"")</f>
        <v>342.85714285714283</v>
      </c>
      <c r="O9" s="162">
        <f t="shared" si="2"/>
        <v>3.4782608695652173</v>
      </c>
      <c r="P9" s="16">
        <f t="shared" si="3"/>
        <v>10</v>
      </c>
    </row>
    <row r="10" spans="1:18" x14ac:dyDescent="0.25">
      <c r="A10" s="20"/>
      <c r="B10" s="1" t="s">
        <v>178</v>
      </c>
      <c r="C10" s="1" t="s">
        <v>62</v>
      </c>
      <c r="D10" s="14">
        <v>1</v>
      </c>
      <c r="E10" s="14">
        <f>IFERROR(VLOOKUP(C10,Recipes!$A$2:$F$208,5,FALSE)*D10,"")</f>
        <v>52</v>
      </c>
      <c r="F10" s="14">
        <f>IFERROR(VLOOKUP(C10,Recipes!$A$2:$F$208,6,FALSE)*D10,"")</f>
        <v>250</v>
      </c>
      <c r="G10" s="162">
        <f t="shared" si="0"/>
        <v>4.8076923076923075</v>
      </c>
      <c r="H10" s="16">
        <f t="shared" si="1"/>
        <v>16</v>
      </c>
      <c r="I10" s="47"/>
      <c r="J10" s="20" t="s">
        <v>179</v>
      </c>
      <c r="K10" s="1" t="s">
        <v>157</v>
      </c>
      <c r="L10" s="14">
        <v>1</v>
      </c>
      <c r="M10" s="151">
        <f>IFERROR(VLOOKUP(K10,Recipes!$A$2:$F$208,5,FALSE)*L10,"")</f>
        <v>171.6</v>
      </c>
      <c r="N10" s="151">
        <f>IFERROR(VLOOKUP(K10,Recipes!$A$2:$F$208,6,FALSE)*L10,"")</f>
        <v>768.09999999999991</v>
      </c>
      <c r="O10" s="162">
        <f t="shared" si="2"/>
        <v>4.4761072261072261</v>
      </c>
      <c r="P10" s="16">
        <f t="shared" si="3"/>
        <v>10</v>
      </c>
    </row>
    <row r="11" spans="1:18" x14ac:dyDescent="0.25">
      <c r="A11" s="20"/>
      <c r="B11" s="1" t="s">
        <v>177</v>
      </c>
      <c r="C11" s="1" t="s">
        <v>158</v>
      </c>
      <c r="D11" s="14">
        <v>0.35</v>
      </c>
      <c r="E11" s="14">
        <f>IFERROR(VLOOKUP(C11,Recipes!$A$2:$F$208,5,FALSE)*D11,"")</f>
        <v>34.5</v>
      </c>
      <c r="F11" s="14">
        <f>IFERROR(VLOOKUP(C11,Recipes!$A$2:$F$208,6,FALSE)*D11,"")</f>
        <v>119.99999999999999</v>
      </c>
      <c r="G11" s="162">
        <f t="shared" si="0"/>
        <v>3.4782608695652169</v>
      </c>
      <c r="H11" s="16">
        <f t="shared" si="1"/>
        <v>5.6</v>
      </c>
      <c r="I11" s="47"/>
      <c r="J11" s="20"/>
      <c r="K11" s="1"/>
      <c r="L11" s="14"/>
      <c r="M11" s="151" t="str">
        <f>IFERROR(VLOOKUP(K11,Recipes!$A$2:$F$208,5,FALSE)*L11,"")</f>
        <v/>
      </c>
      <c r="N11" s="151" t="str">
        <f>IFERROR(VLOOKUP(K11,Recipes!$A$2:$F$208,6,FALSE)*L11,"")</f>
        <v/>
      </c>
      <c r="O11" s="162" t="str">
        <f t="shared" si="2"/>
        <v/>
      </c>
      <c r="P11" s="16">
        <f t="shared" si="3"/>
        <v>0</v>
      </c>
    </row>
    <row r="12" spans="1:18" x14ac:dyDescent="0.25">
      <c r="A12" s="20"/>
      <c r="B12" s="1" t="s">
        <v>177</v>
      </c>
      <c r="C12" s="1" t="s">
        <v>161</v>
      </c>
      <c r="D12" s="14">
        <v>4</v>
      </c>
      <c r="E12" s="14">
        <f>IFERROR(VLOOKUP(C12,Recipes!$A$2:$F$208,5,FALSE)*D12,"")</f>
        <v>60</v>
      </c>
      <c r="F12" s="14">
        <f>IFERROR(VLOOKUP(C12,Recipes!$A$2:$F$208,6,FALSE)*D12,"")</f>
        <v>360</v>
      </c>
      <c r="G12" s="162">
        <f t="shared" si="0"/>
        <v>6</v>
      </c>
      <c r="H12" s="16">
        <f t="shared" si="1"/>
        <v>64</v>
      </c>
      <c r="I12" s="47"/>
      <c r="J12" s="20"/>
      <c r="K12" s="1"/>
      <c r="L12" s="14"/>
      <c r="M12" s="151" t="str">
        <f>IFERROR(VLOOKUP(K12,Recipes!$A$2:$F$208,5,FALSE)*L12,"")</f>
        <v/>
      </c>
      <c r="N12" s="151" t="str">
        <f>IFERROR(VLOOKUP(K12,Recipes!$A$2:$F$208,6,FALSE)*L12,"")</f>
        <v/>
      </c>
      <c r="O12" s="162" t="str">
        <f t="shared" si="2"/>
        <v/>
      </c>
      <c r="P12" s="16">
        <f t="shared" si="3"/>
        <v>0</v>
      </c>
    </row>
    <row r="13" spans="1:18" x14ac:dyDescent="0.25">
      <c r="A13" s="20"/>
      <c r="B13" s="1" t="s">
        <v>179</v>
      </c>
      <c r="C13" s="1" t="s">
        <v>155</v>
      </c>
      <c r="D13" s="14">
        <v>1</v>
      </c>
      <c r="E13" s="14">
        <f>IFERROR(VLOOKUP(C13,Recipes!$A$2:$F$208,5,FALSE)*D13,"")</f>
        <v>183</v>
      </c>
      <c r="F13" s="14">
        <f>IFERROR(VLOOKUP(C13,Recipes!$A$2:$F$208,6,FALSE)*D13,"")</f>
        <v>783</v>
      </c>
      <c r="G13" s="162">
        <f t="shared" si="0"/>
        <v>4.278688524590164</v>
      </c>
      <c r="H13" s="16">
        <f t="shared" si="1"/>
        <v>16</v>
      </c>
      <c r="I13" s="47"/>
      <c r="J13" s="20"/>
      <c r="K13" s="1"/>
      <c r="L13" s="14"/>
      <c r="M13" s="151" t="str">
        <f>IFERROR(VLOOKUP(K13,Recipes!$A$2:$F$208,5,FALSE)*L13,"")</f>
        <v/>
      </c>
      <c r="N13" s="151" t="str">
        <f>IFERROR(VLOOKUP(K13,Recipes!$A$2:$F$208,6,FALSE)*L13,"")</f>
        <v/>
      </c>
      <c r="O13" s="162" t="str">
        <f t="shared" si="2"/>
        <v/>
      </c>
      <c r="P13" s="16">
        <f t="shared" si="3"/>
        <v>0</v>
      </c>
    </row>
    <row r="14" spans="1:18" x14ac:dyDescent="0.25">
      <c r="A14" s="20"/>
      <c r="B14" s="1" t="s">
        <v>178</v>
      </c>
      <c r="C14" s="1" t="s">
        <v>164</v>
      </c>
      <c r="D14" s="14">
        <v>0.91</v>
      </c>
      <c r="E14" s="14">
        <f>IFERROR(VLOOKUP(C14,Recipes!$A$2:$F$208,5,FALSE)*D14,"")</f>
        <v>51.870000000000005</v>
      </c>
      <c r="F14" s="14">
        <f>IFERROR(VLOOKUP(C14,Recipes!$A$2:$F$208,6,FALSE)*D14,"")</f>
        <v>239.33</v>
      </c>
      <c r="G14" s="162">
        <f t="shared" si="0"/>
        <v>4.6140350877192979</v>
      </c>
      <c r="H14" s="16">
        <f t="shared" si="1"/>
        <v>14.56</v>
      </c>
      <c r="I14" s="47"/>
      <c r="J14" s="20"/>
      <c r="K14" s="1"/>
      <c r="L14" s="14"/>
      <c r="M14" s="151" t="str">
        <f>IFERROR(VLOOKUP(K14,Recipes!$A$2:$F$208,5,FALSE)*L14,"")</f>
        <v/>
      </c>
      <c r="N14" s="151" t="str">
        <f>IFERROR(VLOOKUP(K14,Recipes!$A$2:$F$208,6,FALSE)*L14,"")</f>
        <v/>
      </c>
      <c r="O14" s="162" t="str">
        <f t="shared" si="2"/>
        <v/>
      </c>
      <c r="P14" s="16">
        <f t="shared" si="3"/>
        <v>0</v>
      </c>
    </row>
    <row r="15" spans="1:18" x14ac:dyDescent="0.25">
      <c r="A15" s="20"/>
      <c r="B15" s="1" t="s">
        <v>178</v>
      </c>
      <c r="C15" s="1" t="s">
        <v>165</v>
      </c>
      <c r="D15" s="14">
        <v>0.72</v>
      </c>
      <c r="E15" s="14">
        <f>IFERROR(VLOOKUP(C15,Recipes!$A$2:$F$208,5,FALSE)*D15,"")</f>
        <v>30.959999999999997</v>
      </c>
      <c r="F15" s="14">
        <f>IFERROR(VLOOKUP(C15,Recipes!$A$2:$F$208,6,FALSE)*D15,"")</f>
        <v>158.4</v>
      </c>
      <c r="G15" s="162">
        <f t="shared" si="0"/>
        <v>5.1162790697674421</v>
      </c>
      <c r="H15" s="16">
        <f t="shared" si="1"/>
        <v>11.52</v>
      </c>
      <c r="I15" s="47"/>
      <c r="J15" s="20"/>
      <c r="K15" s="1"/>
      <c r="L15" s="14"/>
      <c r="M15" s="151" t="str">
        <f>IFERROR(VLOOKUP(K15,Recipes!$A$2:$F$208,5,FALSE)*L15,"")</f>
        <v/>
      </c>
      <c r="N15" s="151" t="str">
        <f>IFERROR(VLOOKUP(K15,Recipes!$A$2:$F$208,6,FALSE)*L15,"")</f>
        <v/>
      </c>
      <c r="O15" s="162" t="str">
        <f t="shared" si="2"/>
        <v/>
      </c>
      <c r="P15" s="16">
        <f t="shared" si="3"/>
        <v>0</v>
      </c>
    </row>
    <row r="16" spans="1:18" x14ac:dyDescent="0.25">
      <c r="A16" s="20"/>
      <c r="B16" s="1"/>
      <c r="C16" s="1"/>
      <c r="D16" s="14"/>
      <c r="E16" s="14" t="str">
        <f>IFERROR(VLOOKUP(C16,Recipes!$A$2:$F$208,5,FALSE)*D16,"")</f>
        <v/>
      </c>
      <c r="F16" s="14" t="str">
        <f>IFERROR(VLOOKUP(C16,Recipes!$A$2:$F$208,6,FALSE)*D16,"")</f>
        <v/>
      </c>
      <c r="G16" s="162" t="str">
        <f t="shared" si="0"/>
        <v/>
      </c>
      <c r="H16" s="16">
        <f t="shared" si="1"/>
        <v>0</v>
      </c>
      <c r="I16" s="47"/>
      <c r="J16" s="20"/>
      <c r="K16" s="1"/>
      <c r="L16" s="14"/>
      <c r="M16" s="151" t="str">
        <f>IFERROR(VLOOKUP(K16,Recipes!$A$2:$F$208,5,FALSE)*L16,"")</f>
        <v/>
      </c>
      <c r="N16" s="151" t="str">
        <f>IFERROR(VLOOKUP(K16,Recipes!$A$2:$F$208,6,FALSE)*L16,"")</f>
        <v/>
      </c>
      <c r="O16" s="162" t="str">
        <f t="shared" si="2"/>
        <v/>
      </c>
      <c r="P16" s="16">
        <f t="shared" si="3"/>
        <v>0</v>
      </c>
    </row>
    <row r="17" spans="1:16" x14ac:dyDescent="0.25">
      <c r="A17" s="20"/>
      <c r="B17" s="1"/>
      <c r="C17" s="1"/>
      <c r="D17" s="14"/>
      <c r="E17" s="14" t="str">
        <f>IFERROR(VLOOKUP(C17,Recipes!$A$2:$F$208,5,FALSE)*D17,"")</f>
        <v/>
      </c>
      <c r="F17" s="14" t="str">
        <f>IFERROR(VLOOKUP(C17,Recipes!$A$2:$F$208,6,FALSE)*D17,"")</f>
        <v/>
      </c>
      <c r="G17" s="162" t="str">
        <f t="shared" si="0"/>
        <v/>
      </c>
      <c r="H17" s="16">
        <f t="shared" si="1"/>
        <v>0</v>
      </c>
      <c r="I17" s="47"/>
      <c r="J17" s="20"/>
      <c r="K17" s="1"/>
      <c r="L17" s="14"/>
      <c r="M17" s="151" t="str">
        <f>IFERROR(VLOOKUP(K17,Recipes!$A$2:$F$208,5,FALSE)*L17,"")</f>
        <v/>
      </c>
      <c r="N17" s="151" t="str">
        <f>IFERROR(VLOOKUP(K17,Recipes!$A$2:$F$208,6,FALSE)*L17,"")</f>
        <v/>
      </c>
      <c r="O17" s="162" t="str">
        <f t="shared" si="2"/>
        <v/>
      </c>
      <c r="P17" s="16">
        <f t="shared" si="3"/>
        <v>0</v>
      </c>
    </row>
    <row r="18" spans="1:16" x14ac:dyDescent="0.25">
      <c r="A18" s="20"/>
      <c r="B18" s="1"/>
      <c r="C18" s="1"/>
      <c r="D18" s="14"/>
      <c r="E18" s="14" t="str">
        <f>IFERROR(VLOOKUP(C18,Recipes!$A$2:$F$208,5,FALSE)*D18,"")</f>
        <v/>
      </c>
      <c r="F18" s="14" t="str">
        <f>IFERROR(VLOOKUP(C18,Recipes!$A$2:$F$208,6,FALSE)*D18,"")</f>
        <v/>
      </c>
      <c r="G18" s="162" t="str">
        <f t="shared" si="0"/>
        <v/>
      </c>
      <c r="H18" s="16">
        <f t="shared" si="1"/>
        <v>0</v>
      </c>
      <c r="I18" s="47"/>
      <c r="J18" s="20"/>
      <c r="K18" s="1"/>
      <c r="L18" s="14"/>
      <c r="M18" s="151" t="str">
        <f>IFERROR(VLOOKUP(K18,Recipes!$A$2:$F$208,5,FALSE)*L18,"")</f>
        <v/>
      </c>
      <c r="N18" s="151" t="str">
        <f>IFERROR(VLOOKUP(K18,Recipes!$A$2:$F$208,6,FALSE)*L18,"")</f>
        <v/>
      </c>
      <c r="O18" s="162" t="str">
        <f t="shared" si="2"/>
        <v/>
      </c>
      <c r="P18" s="16">
        <f t="shared" si="3"/>
        <v>0</v>
      </c>
    </row>
    <row r="19" spans="1:16" x14ac:dyDescent="0.25">
      <c r="A19" s="20"/>
      <c r="B19" s="1"/>
      <c r="C19" s="1"/>
      <c r="D19" s="14"/>
      <c r="E19" s="14" t="str">
        <f>IFERROR(VLOOKUP(C19,Recipes!$A$2:$F$208,5,FALSE)*D19,"")</f>
        <v/>
      </c>
      <c r="F19" s="14" t="str">
        <f>IFERROR(VLOOKUP(C19,Recipes!$A$2:$F$208,6,FALSE)*D19,"")</f>
        <v/>
      </c>
      <c r="G19" s="162" t="str">
        <f t="shared" si="0"/>
        <v/>
      </c>
      <c r="H19" s="16">
        <f t="shared" si="1"/>
        <v>0</v>
      </c>
      <c r="I19" s="47"/>
      <c r="J19" s="20"/>
      <c r="K19" s="1"/>
      <c r="L19" s="14"/>
      <c r="M19" s="151" t="str">
        <f>IFERROR(VLOOKUP(K19,Recipes!$A$2:$F$208,5,FALSE)*L19,"")</f>
        <v/>
      </c>
      <c r="N19" s="151" t="str">
        <f>IFERROR(VLOOKUP(K19,Recipes!$A$2:$F$208,6,FALSE)*L19,"")</f>
        <v/>
      </c>
      <c r="O19" s="162" t="str">
        <f t="shared" si="2"/>
        <v/>
      </c>
      <c r="P19" s="16">
        <f t="shared" si="3"/>
        <v>0</v>
      </c>
    </row>
    <row r="20" spans="1:16" x14ac:dyDescent="0.25">
      <c r="A20" s="20"/>
      <c r="B20" s="1"/>
      <c r="C20" s="1"/>
      <c r="D20" s="14"/>
      <c r="E20" s="14" t="str">
        <f>IFERROR(VLOOKUP(C20,Recipes!$A$2:$F$208,5,FALSE)*D20,"")</f>
        <v/>
      </c>
      <c r="F20" s="14" t="str">
        <f>IFERROR(VLOOKUP(C20,Recipes!$A$2:$F$208,6,FALSE)*D20,"")</f>
        <v/>
      </c>
      <c r="G20" s="162" t="str">
        <f t="shared" si="0"/>
        <v/>
      </c>
      <c r="H20" s="16">
        <f t="shared" si="1"/>
        <v>0</v>
      </c>
      <c r="I20" s="47"/>
      <c r="J20" s="20"/>
      <c r="K20" s="1"/>
      <c r="L20" s="14"/>
      <c r="M20" s="151" t="str">
        <f>IFERROR(VLOOKUP(K20,Recipes!$A$2:$F$208,5,FALSE)*L20,"")</f>
        <v/>
      </c>
      <c r="N20" s="151" t="str">
        <f>IFERROR(VLOOKUP(K20,Recipes!$A$2:$F$208,6,FALSE)*L20,"")</f>
        <v/>
      </c>
      <c r="O20" s="162" t="str">
        <f t="shared" si="2"/>
        <v/>
      </c>
      <c r="P20" s="16">
        <f t="shared" si="3"/>
        <v>0</v>
      </c>
    </row>
    <row r="21" spans="1:16" x14ac:dyDescent="0.25">
      <c r="A21" s="20"/>
      <c r="B21" s="1"/>
      <c r="C21" s="1"/>
      <c r="D21" s="14"/>
      <c r="E21" s="14" t="str">
        <f>IFERROR(VLOOKUP(C21,Recipes!$A$2:$F$208,5,FALSE)*D21,"")</f>
        <v/>
      </c>
      <c r="F21" s="14" t="str">
        <f>IFERROR(VLOOKUP(C21,Recipes!$A$2:$F$208,6,FALSE)*D21,"")</f>
        <v/>
      </c>
      <c r="G21" s="162" t="str">
        <f t="shared" si="0"/>
        <v/>
      </c>
      <c r="H21" s="16">
        <f t="shared" si="1"/>
        <v>0</v>
      </c>
      <c r="I21" s="47"/>
      <c r="J21" s="20"/>
      <c r="K21" s="1"/>
      <c r="L21" s="14"/>
      <c r="M21" s="151" t="str">
        <f>IFERROR(VLOOKUP(K21,Recipes!$A$2:$F$208,5,FALSE)*L21,"")</f>
        <v/>
      </c>
      <c r="N21" s="151" t="str">
        <f>IFERROR(VLOOKUP(K21,Recipes!$A$2:$F$208,6,FALSE)*L21,"")</f>
        <v/>
      </c>
      <c r="O21" s="162" t="str">
        <f t="shared" si="2"/>
        <v/>
      </c>
      <c r="P21" s="16">
        <f t="shared" si="3"/>
        <v>0</v>
      </c>
    </row>
    <row r="22" spans="1:16" x14ac:dyDescent="0.25">
      <c r="A22" s="20"/>
      <c r="B22" s="1"/>
      <c r="C22" s="1"/>
      <c r="D22" s="14"/>
      <c r="E22" s="14" t="str">
        <f>IFERROR(VLOOKUP(C22,Recipes!$A$2:$F$208,5,FALSE)*D22,"")</f>
        <v/>
      </c>
      <c r="F22" s="14" t="str">
        <f>IFERROR(VLOOKUP(C22,Recipes!$A$2:$F$208,6,FALSE)*D22,"")</f>
        <v/>
      </c>
      <c r="G22" s="162" t="str">
        <f t="shared" si="0"/>
        <v/>
      </c>
      <c r="H22" s="16">
        <f t="shared" si="1"/>
        <v>0</v>
      </c>
      <c r="I22" s="47"/>
      <c r="J22" s="20"/>
      <c r="K22" s="1"/>
      <c r="L22" s="14"/>
      <c r="M22" s="151" t="str">
        <f>IFERROR(VLOOKUP(K22,Recipes!$A$2:$F$208,5,FALSE)*L22,"")</f>
        <v/>
      </c>
      <c r="N22" s="151" t="str">
        <f>IFERROR(VLOOKUP(K22,Recipes!$A$2:$F$208,6,FALSE)*L22,"")</f>
        <v/>
      </c>
      <c r="O22" s="162" t="str">
        <f t="shared" si="2"/>
        <v/>
      </c>
      <c r="P22" s="16">
        <f t="shared" si="3"/>
        <v>0</v>
      </c>
    </row>
    <row r="23" spans="1:16" x14ac:dyDescent="0.25">
      <c r="A23" s="20"/>
      <c r="B23" s="1"/>
      <c r="C23" s="1"/>
      <c r="D23" s="14"/>
      <c r="E23" s="14" t="str">
        <f>IFERROR(VLOOKUP(C23,Recipes!$A$2:$F$208,5,FALSE)*D23,"")</f>
        <v/>
      </c>
      <c r="F23" s="14" t="str">
        <f>IFERROR(VLOOKUP(C23,Recipes!$A$2:$F$208,6,FALSE)*D23,"")</f>
        <v/>
      </c>
      <c r="G23" s="162" t="str">
        <f t="shared" si="0"/>
        <v/>
      </c>
      <c r="H23" s="16">
        <f t="shared" si="1"/>
        <v>0</v>
      </c>
      <c r="I23" s="47"/>
      <c r="J23" s="20"/>
      <c r="K23" s="1"/>
      <c r="L23" s="14"/>
      <c r="M23" s="151" t="str">
        <f>IFERROR(VLOOKUP(K23,Recipes!$A$2:$F$208,5,FALSE)*L23,"")</f>
        <v/>
      </c>
      <c r="N23" s="151" t="str">
        <f>IFERROR(VLOOKUP(K23,Recipes!$A$2:$F$208,6,FALSE)*L23,"")</f>
        <v/>
      </c>
      <c r="O23" s="162" t="str">
        <f t="shared" si="2"/>
        <v/>
      </c>
      <c r="P23" s="16">
        <f t="shared" si="3"/>
        <v>0</v>
      </c>
    </row>
    <row r="24" spans="1:16" x14ac:dyDescent="0.25">
      <c r="A24" s="20"/>
      <c r="B24" s="1"/>
      <c r="C24" s="1"/>
      <c r="D24" s="14"/>
      <c r="E24" s="14" t="str">
        <f>IFERROR(VLOOKUP(C24,Recipes!$A$2:$F$208,5,FALSE)*D24,"")</f>
        <v/>
      </c>
      <c r="F24" s="14" t="str">
        <f>IFERROR(VLOOKUP(C24,Recipes!$A$2:$F$208,6,FALSE)*D24,"")</f>
        <v/>
      </c>
      <c r="G24" s="162" t="str">
        <f t="shared" si="0"/>
        <v/>
      </c>
      <c r="H24" s="16">
        <f t="shared" si="1"/>
        <v>0</v>
      </c>
      <c r="I24" s="47"/>
      <c r="J24" s="20"/>
      <c r="K24" s="1"/>
      <c r="L24" s="14"/>
      <c r="M24" s="151" t="str">
        <f>IFERROR(VLOOKUP(K24,Recipes!$A$2:$F$208,5,FALSE)*L24,"")</f>
        <v/>
      </c>
      <c r="N24" s="151" t="str">
        <f>IFERROR(VLOOKUP(K24,Recipes!$A$2:$F$208,6,FALSE)*L24,"")</f>
        <v/>
      </c>
      <c r="O24" s="162" t="str">
        <f t="shared" si="2"/>
        <v/>
      </c>
      <c r="P24" s="16">
        <f t="shared" si="3"/>
        <v>0</v>
      </c>
    </row>
    <row r="25" spans="1:16" x14ac:dyDescent="0.25">
      <c r="A25" s="20"/>
      <c r="B25" s="1"/>
      <c r="C25" s="1"/>
      <c r="D25" s="14"/>
      <c r="E25" s="14" t="str">
        <f>IFERROR(VLOOKUP(C25,Recipes!$A$2:$F$208,5,FALSE)*D25,"")</f>
        <v/>
      </c>
      <c r="F25" s="14" t="str">
        <f>IFERROR(VLOOKUP(C25,Recipes!$A$2:$F$208,6,FALSE)*D25,"")</f>
        <v/>
      </c>
      <c r="G25" s="162" t="str">
        <f t="shared" si="0"/>
        <v/>
      </c>
      <c r="H25" s="16">
        <f t="shared" si="1"/>
        <v>0</v>
      </c>
      <c r="I25" s="47"/>
      <c r="J25" s="20"/>
      <c r="K25" s="1"/>
      <c r="L25" s="14"/>
      <c r="M25" s="151" t="str">
        <f>IFERROR(VLOOKUP(K25,Recipes!$A$2:$F$208,5,FALSE)*L25,"")</f>
        <v/>
      </c>
      <c r="N25" s="151" t="str">
        <f>IFERROR(VLOOKUP(K25,Recipes!$A$2:$F$208,6,FALSE)*L25,"")</f>
        <v/>
      </c>
      <c r="O25" s="162" t="str">
        <f t="shared" si="2"/>
        <v/>
      </c>
      <c r="P25" s="16">
        <f t="shared" si="3"/>
        <v>0</v>
      </c>
    </row>
    <row r="26" spans="1:16" x14ac:dyDescent="0.25">
      <c r="A26" s="20"/>
      <c r="B26" s="1"/>
      <c r="C26" s="1"/>
      <c r="D26" s="14"/>
      <c r="E26" s="14" t="str">
        <f>IFERROR(VLOOKUP(C26,Recipes!$A$2:$F$208,5,FALSE)*D26,"")</f>
        <v/>
      </c>
      <c r="F26" s="14" t="str">
        <f>IFERROR(VLOOKUP(C26,Recipes!$A$2:$F$208,6,FALSE)*D26,"")</f>
        <v/>
      </c>
      <c r="G26" s="162" t="str">
        <f t="shared" si="0"/>
        <v/>
      </c>
      <c r="H26" s="16">
        <f t="shared" si="1"/>
        <v>0</v>
      </c>
      <c r="I26" s="47"/>
      <c r="J26" s="20"/>
      <c r="K26" s="1"/>
      <c r="L26" s="14"/>
      <c r="M26" s="151" t="str">
        <f>IFERROR(VLOOKUP(K26,Recipes!$A$2:$F$208,5,FALSE)*L26,"")</f>
        <v/>
      </c>
      <c r="N26" s="151" t="str">
        <f>IFERROR(VLOOKUP(K26,Recipes!$A$2:$F$208,6,FALSE)*L26,"")</f>
        <v/>
      </c>
      <c r="O26" s="162" t="str">
        <f t="shared" si="2"/>
        <v/>
      </c>
      <c r="P26" s="16">
        <f t="shared" si="3"/>
        <v>0</v>
      </c>
    </row>
    <row r="27" spans="1:16" x14ac:dyDescent="0.25">
      <c r="A27" s="20"/>
      <c r="B27" s="1"/>
      <c r="C27" s="1"/>
      <c r="D27" s="14"/>
      <c r="E27" s="14" t="str">
        <f>IFERROR(VLOOKUP(C27,Recipes!$A$2:$F$208,5,FALSE)*D27,"")</f>
        <v/>
      </c>
      <c r="F27" s="14" t="str">
        <f>IFERROR(VLOOKUP(C27,Recipes!$A$2:$F$208,6,FALSE)*D27,"")</f>
        <v/>
      </c>
      <c r="G27" s="162" t="str">
        <f t="shared" si="0"/>
        <v/>
      </c>
      <c r="H27" s="16">
        <f t="shared" si="1"/>
        <v>0</v>
      </c>
      <c r="I27" s="47"/>
      <c r="J27" s="20"/>
      <c r="K27" s="1"/>
      <c r="L27" s="14"/>
      <c r="M27" s="151" t="str">
        <f>IFERROR(VLOOKUP(K27,Recipes!$A$2:$F$208,5,FALSE)*L27,"")</f>
        <v/>
      </c>
      <c r="N27" s="151" t="str">
        <f>IFERROR(VLOOKUP(K27,Recipes!$A$2:$F$208,6,FALSE)*L27,"")</f>
        <v/>
      </c>
      <c r="O27" s="162" t="str">
        <f t="shared" si="2"/>
        <v/>
      </c>
      <c r="P27" s="16">
        <f t="shared" si="3"/>
        <v>0</v>
      </c>
    </row>
    <row r="28" spans="1:16" x14ac:dyDescent="0.25">
      <c r="A28" s="20"/>
      <c r="B28" s="1"/>
      <c r="C28" s="1"/>
      <c r="D28" s="14"/>
      <c r="E28" s="14" t="str">
        <f>IFERROR(VLOOKUP(C28,Recipes!$A$2:$F$208,5,FALSE)*D28,"")</f>
        <v/>
      </c>
      <c r="F28" s="14" t="str">
        <f>IFERROR(VLOOKUP(C28,Recipes!$A$2:$F$208,6,FALSE)*D28,"")</f>
        <v/>
      </c>
      <c r="G28" s="162" t="str">
        <f t="shared" si="0"/>
        <v/>
      </c>
      <c r="H28" s="16">
        <f t="shared" si="1"/>
        <v>0</v>
      </c>
      <c r="I28" s="47"/>
      <c r="J28" s="20"/>
      <c r="K28" s="1"/>
      <c r="L28" s="14"/>
      <c r="M28" s="151" t="str">
        <f>IFERROR(VLOOKUP(K28,Recipes!$A$2:$F$208,5,FALSE)*L28,"")</f>
        <v/>
      </c>
      <c r="N28" s="151" t="str">
        <f>IFERROR(VLOOKUP(K28,Recipes!$A$2:$F$208,6,FALSE)*L28,"")</f>
        <v/>
      </c>
      <c r="O28" s="162" t="str">
        <f t="shared" si="2"/>
        <v/>
      </c>
      <c r="P28" s="16">
        <f t="shared" si="3"/>
        <v>0</v>
      </c>
    </row>
    <row r="29" spans="1:16" x14ac:dyDescent="0.25">
      <c r="A29" s="20"/>
      <c r="B29" s="1"/>
      <c r="C29" s="1"/>
      <c r="D29" s="14"/>
      <c r="E29" s="14" t="str">
        <f>IFERROR(VLOOKUP(C29,Recipes!$A$2:$F$208,5,FALSE)*D29,"")</f>
        <v/>
      </c>
      <c r="F29" s="14" t="str">
        <f>IFERROR(VLOOKUP(C29,Recipes!$A$2:$F$208,6,FALSE)*D29,"")</f>
        <v/>
      </c>
      <c r="G29" s="162" t="str">
        <f t="shared" si="0"/>
        <v/>
      </c>
      <c r="H29" s="16">
        <f t="shared" si="1"/>
        <v>0</v>
      </c>
      <c r="I29" s="47"/>
      <c r="J29" s="20"/>
      <c r="K29" s="1"/>
      <c r="L29" s="14"/>
      <c r="M29" s="151" t="str">
        <f>IFERROR(VLOOKUP(K29,Recipes!$A$2:$F$208,5,FALSE)*L29,"")</f>
        <v/>
      </c>
      <c r="N29" s="151" t="str">
        <f>IFERROR(VLOOKUP(K29,Recipes!$A$2:$F$208,6,FALSE)*L29,"")</f>
        <v/>
      </c>
      <c r="O29" s="162" t="str">
        <f t="shared" si="2"/>
        <v/>
      </c>
      <c r="P29" s="16">
        <f t="shared" si="3"/>
        <v>0</v>
      </c>
    </row>
    <row r="30" spans="1:16" ht="15.75" thickBot="1" x14ac:dyDescent="0.3">
      <c r="A30" s="21"/>
      <c r="B30" s="8"/>
      <c r="C30" s="8"/>
      <c r="D30" s="15"/>
      <c r="E30" s="15" t="str">
        <f>IFERROR(VLOOKUP(C30,Recipes!$A$2:$F$208,5,FALSE)*D30,"")</f>
        <v/>
      </c>
      <c r="F30" s="15" t="str">
        <f>IFERROR(VLOOKUP(C30,Recipes!$A$2:$F$208,6,FALSE)*D30,"")</f>
        <v/>
      </c>
      <c r="G30" s="163" t="str">
        <f t="shared" si="0"/>
        <v/>
      </c>
      <c r="H30" s="17">
        <f t="shared" si="1"/>
        <v>0</v>
      </c>
      <c r="I30" s="47"/>
      <c r="J30" s="21"/>
      <c r="K30" s="8"/>
      <c r="L30" s="15"/>
      <c r="M30" s="152" t="str">
        <f>IFERROR(VLOOKUP(K30,Recipes!$A$2:$F$208,5,FALSE)*L30,"")</f>
        <v/>
      </c>
      <c r="N30" s="152" t="str">
        <f>IFERROR(VLOOKUP(K30,Recipes!$A$2:$F$208,6,FALSE)*L30,"")</f>
        <v/>
      </c>
      <c r="O30" s="163" t="str">
        <f t="shared" si="2"/>
        <v/>
      </c>
      <c r="P30" s="17">
        <f t="shared" si="3"/>
        <v>0</v>
      </c>
    </row>
    <row r="31" spans="1:16" ht="15.75" thickBot="1" x14ac:dyDescent="0.3">
      <c r="A31" s="134" t="s">
        <v>180</v>
      </c>
      <c r="B31" s="135"/>
      <c r="C31" s="135"/>
      <c r="D31" s="135"/>
      <c r="E31" s="145">
        <f>SUM(E32:E58)</f>
        <v>900.43000000000006</v>
      </c>
      <c r="F31" s="145">
        <f>SUM(F32:F58)</f>
        <v>3595.73</v>
      </c>
      <c r="G31" s="164">
        <f>IFERROR(F31/E31,"")</f>
        <v>3.9933476228024385</v>
      </c>
      <c r="H31" s="146">
        <f>COUNTIF(Meal_Itinerary!C:C,Meals!A31)</f>
        <v>16</v>
      </c>
      <c r="I31" s="109"/>
      <c r="J31" s="138"/>
      <c r="K31" s="135"/>
      <c r="L31" s="135"/>
      <c r="M31" s="148">
        <f>SUM(M32:M58)</f>
        <v>867.17142857142858</v>
      </c>
      <c r="N31" s="148">
        <f>SUM(N32:N58)</f>
        <v>3635.8571428571427</v>
      </c>
      <c r="O31" s="160">
        <f>IFERROR(N31/M31,"")</f>
        <v>4.19277783269085</v>
      </c>
      <c r="P31" s="147">
        <f>COUNTIF(Meal_Itinerary!E:E,Meals!A31)</f>
        <v>10</v>
      </c>
    </row>
    <row r="32" spans="1:16" x14ac:dyDescent="0.25">
      <c r="A32" s="23"/>
      <c r="B32" s="10" t="s">
        <v>176</v>
      </c>
      <c r="C32" s="10" t="s">
        <v>160</v>
      </c>
      <c r="D32" s="112">
        <v>1</v>
      </c>
      <c r="E32" s="112">
        <f>IFERROR(VLOOKUP(C32,Recipes!$A$2:$F$208,5,FALSE)*D32,"")</f>
        <v>70</v>
      </c>
      <c r="F32" s="112">
        <f>IFERROR(VLOOKUP(C32,Recipes!$A$2:$F$208,6,FALSE)*D32,"")</f>
        <v>309.89999999999998</v>
      </c>
      <c r="G32" s="161">
        <f>IFERROR(F32/E32,"")</f>
        <v>4.427142857142857</v>
      </c>
      <c r="H32" s="136">
        <f>$H$31* D32</f>
        <v>16</v>
      </c>
      <c r="I32" s="47"/>
      <c r="J32" s="23" t="s">
        <v>176</v>
      </c>
      <c r="K32" s="10" t="s">
        <v>147</v>
      </c>
      <c r="L32" s="112">
        <v>1</v>
      </c>
      <c r="M32" s="150">
        <f>IFERROR(VLOOKUP(K32,Recipes!$A$2:$F$208,5,FALSE)*L32,"")</f>
        <v>126.6</v>
      </c>
      <c r="N32" s="150">
        <f>IFERROR(VLOOKUP(K32,Recipes!$A$2:$F$208,6,FALSE)*L32,"")</f>
        <v>610</v>
      </c>
      <c r="O32" s="161">
        <f>IFERROR(N32/M32,"")</f>
        <v>4.8183254344391786</v>
      </c>
      <c r="P32" s="136">
        <f>$P$31*L32</f>
        <v>10</v>
      </c>
    </row>
    <row r="33" spans="1:16" x14ac:dyDescent="0.25">
      <c r="A33" s="20"/>
      <c r="B33" s="1" t="s">
        <v>177</v>
      </c>
      <c r="C33" s="1" t="s">
        <v>109</v>
      </c>
      <c r="D33" s="14">
        <v>0.5</v>
      </c>
      <c r="E33" s="14">
        <f>IFERROR(VLOOKUP(C33,Recipes!$A$2:$F$208,5,FALSE)*D33,"")</f>
        <v>75</v>
      </c>
      <c r="F33" s="14">
        <f>IFERROR(VLOOKUP(C33,Recipes!$A$2:$F$208,6,FALSE)*D33,"")</f>
        <v>50</v>
      </c>
      <c r="G33" s="162">
        <f t="shared" ref="G33:G58" si="4">IFERROR(F33/E33,"")</f>
        <v>0.66666666666666663</v>
      </c>
      <c r="H33" s="16">
        <f t="shared" ref="H33:H58" si="5">$H$31* D33</f>
        <v>8</v>
      </c>
      <c r="I33" s="47"/>
      <c r="J33" s="20" t="s">
        <v>178</v>
      </c>
      <c r="K33" s="1" t="s">
        <v>149</v>
      </c>
      <c r="L33" s="14">
        <v>1</v>
      </c>
      <c r="M33" s="151">
        <f>IFERROR(VLOOKUP(K33,Recipes!$A$2:$F$208,5,FALSE)*L33,"")</f>
        <v>184</v>
      </c>
      <c r="N33" s="151">
        <f>IFERROR(VLOOKUP(K33,Recipes!$A$2:$F$208,6,FALSE)*L33,"")</f>
        <v>950</v>
      </c>
      <c r="O33" s="162">
        <f t="shared" ref="O33:O58" si="6">IFERROR(N33/M33,"")</f>
        <v>5.1630434782608692</v>
      </c>
      <c r="P33" s="16">
        <f t="shared" ref="P33:P58" si="7">$P$31*L33</f>
        <v>10</v>
      </c>
    </row>
    <row r="34" spans="1:16" x14ac:dyDescent="0.25">
      <c r="A34" s="20"/>
      <c r="B34" s="1" t="s">
        <v>177</v>
      </c>
      <c r="C34" s="1" t="s">
        <v>144</v>
      </c>
      <c r="D34" s="14">
        <v>0.5</v>
      </c>
      <c r="E34" s="14">
        <f>IFERROR(VLOOKUP(C34,Recipes!$A$2:$F$208,5,FALSE)*D34,"")</f>
        <v>62.5</v>
      </c>
      <c r="F34" s="14">
        <f>IFERROR(VLOOKUP(C34,Recipes!$A$2:$F$208,6,FALSE)*D34,"")</f>
        <v>185</v>
      </c>
      <c r="G34" s="162">
        <f t="shared" si="4"/>
        <v>2.96</v>
      </c>
      <c r="H34" s="16">
        <f t="shared" si="5"/>
        <v>8</v>
      </c>
      <c r="I34" s="47"/>
      <c r="J34" s="20" t="s">
        <v>177</v>
      </c>
      <c r="K34" s="1" t="s">
        <v>150</v>
      </c>
      <c r="L34" s="14">
        <v>2</v>
      </c>
      <c r="M34" s="151">
        <f>IFERROR(VLOOKUP(K34,Recipes!$A$2:$F$208,5,FALSE)*L34,"")</f>
        <v>200</v>
      </c>
      <c r="N34" s="151">
        <f>IFERROR(VLOOKUP(K34,Recipes!$A$2:$F$208,6,FALSE)*L34,"")</f>
        <v>500</v>
      </c>
      <c r="O34" s="162">
        <f t="shared" si="6"/>
        <v>2.5</v>
      </c>
      <c r="P34" s="16">
        <f t="shared" si="7"/>
        <v>20</v>
      </c>
    </row>
    <row r="35" spans="1:16" x14ac:dyDescent="0.25">
      <c r="A35" s="20"/>
      <c r="B35" s="1" t="s">
        <v>177</v>
      </c>
      <c r="C35" s="1" t="s">
        <v>162</v>
      </c>
      <c r="D35" s="14">
        <v>1</v>
      </c>
      <c r="E35" s="14">
        <f>IFERROR(VLOOKUP(C35,Recipes!$A$2:$F$208,5,FALSE)*D35,"")</f>
        <v>50</v>
      </c>
      <c r="F35" s="14">
        <f>IFERROR(VLOOKUP(C35,Recipes!$A$2:$F$208,6,FALSE)*D35,"")</f>
        <v>280</v>
      </c>
      <c r="G35" s="162">
        <f t="shared" si="4"/>
        <v>5.6</v>
      </c>
      <c r="H35" s="16">
        <f t="shared" si="5"/>
        <v>16</v>
      </c>
      <c r="I35" s="47"/>
      <c r="J35" s="20" t="s">
        <v>177</v>
      </c>
      <c r="K35" s="1" t="s">
        <v>161</v>
      </c>
      <c r="L35" s="14">
        <v>5</v>
      </c>
      <c r="M35" s="151">
        <f>IFERROR(VLOOKUP(K35,Recipes!$A$2:$F$208,5,FALSE)*L35,"")</f>
        <v>75</v>
      </c>
      <c r="N35" s="151">
        <f>IFERROR(VLOOKUP(K35,Recipes!$A$2:$F$208,6,FALSE)*L35,"")</f>
        <v>450</v>
      </c>
      <c r="O35" s="162">
        <f t="shared" si="6"/>
        <v>6</v>
      </c>
      <c r="P35" s="16">
        <f t="shared" si="7"/>
        <v>50</v>
      </c>
    </row>
    <row r="36" spans="1:16" x14ac:dyDescent="0.25">
      <c r="A36" s="20"/>
      <c r="B36" s="1" t="s">
        <v>177</v>
      </c>
      <c r="C36" s="1" t="s">
        <v>150</v>
      </c>
      <c r="D36" s="14">
        <v>0.8</v>
      </c>
      <c r="E36" s="14">
        <f>IFERROR(VLOOKUP(C36,Recipes!$A$2:$F$208,5,FALSE)*D36,"")</f>
        <v>80</v>
      </c>
      <c r="F36" s="14">
        <f>IFERROR(VLOOKUP(C36,Recipes!$A$2:$F$208,6,FALSE)*D36,"")</f>
        <v>200</v>
      </c>
      <c r="G36" s="162">
        <f t="shared" si="4"/>
        <v>2.5</v>
      </c>
      <c r="H36" s="16">
        <f t="shared" si="5"/>
        <v>12.8</v>
      </c>
      <c r="I36" s="47"/>
      <c r="J36" s="20" t="s">
        <v>179</v>
      </c>
      <c r="K36" s="1" t="s">
        <v>155</v>
      </c>
      <c r="L36" s="14">
        <v>1</v>
      </c>
      <c r="M36" s="151">
        <f>IFERROR(VLOOKUP(K36,Recipes!$A$2:$F$208,5,FALSE)*L36,"")</f>
        <v>183</v>
      </c>
      <c r="N36" s="151">
        <f>IFERROR(VLOOKUP(K36,Recipes!$A$2:$F$208,6,FALSE)*L36,"")</f>
        <v>783</v>
      </c>
      <c r="O36" s="162">
        <f t="shared" si="6"/>
        <v>4.278688524590164</v>
      </c>
      <c r="P36" s="16">
        <f t="shared" si="7"/>
        <v>10</v>
      </c>
    </row>
    <row r="37" spans="1:16" x14ac:dyDescent="0.25">
      <c r="A37" s="20"/>
      <c r="B37" s="1" t="s">
        <v>178</v>
      </c>
      <c r="C37" s="1" t="s">
        <v>163</v>
      </c>
      <c r="D37" s="14">
        <v>0</v>
      </c>
      <c r="E37" s="14">
        <f>IFERROR(VLOOKUP(C37,Recipes!$A$2:$F$208,5,FALSE)*D37,"")</f>
        <v>0</v>
      </c>
      <c r="F37" s="14">
        <f>IFERROR(VLOOKUP(C37,Recipes!$A$2:$F$208,6,FALSE)*D37,"")</f>
        <v>0</v>
      </c>
      <c r="G37" s="162" t="str">
        <f t="shared" si="4"/>
        <v/>
      </c>
      <c r="H37" s="16">
        <f t="shared" si="5"/>
        <v>0</v>
      </c>
      <c r="I37" s="47"/>
      <c r="J37" s="20" t="s">
        <v>178</v>
      </c>
      <c r="K37" s="1" t="s">
        <v>158</v>
      </c>
      <c r="L37" s="14">
        <v>1</v>
      </c>
      <c r="M37" s="151">
        <f>IFERROR(VLOOKUP(K37,Recipes!$A$2:$F$208,5,FALSE)*L37,"")</f>
        <v>98.571428571428569</v>
      </c>
      <c r="N37" s="151">
        <f>IFERROR(VLOOKUP(K37,Recipes!$A$2:$F$208,6,FALSE)*L37,"")</f>
        <v>342.85714285714283</v>
      </c>
      <c r="O37" s="162">
        <f t="shared" si="6"/>
        <v>3.4782608695652173</v>
      </c>
      <c r="P37" s="16">
        <f t="shared" si="7"/>
        <v>10</v>
      </c>
    </row>
    <row r="38" spans="1:16" x14ac:dyDescent="0.25">
      <c r="A38" s="20"/>
      <c r="B38" s="1" t="s">
        <v>178</v>
      </c>
      <c r="C38" s="1" t="s">
        <v>100</v>
      </c>
      <c r="D38" s="14">
        <v>1.5</v>
      </c>
      <c r="E38" s="14">
        <f>IFERROR(VLOOKUP(C38,Recipes!$A$2:$F$208,5,FALSE)*D38,"")</f>
        <v>102</v>
      </c>
      <c r="F38" s="14">
        <f>IFERROR(VLOOKUP(C38,Recipes!$A$2:$F$208,6,FALSE)*D38,"")</f>
        <v>375</v>
      </c>
      <c r="G38" s="162">
        <f t="shared" si="4"/>
        <v>3.6764705882352939</v>
      </c>
      <c r="H38" s="16">
        <f t="shared" si="5"/>
        <v>24</v>
      </c>
      <c r="I38" s="47"/>
      <c r="J38" s="20"/>
      <c r="K38" s="1"/>
      <c r="L38" s="14"/>
      <c r="M38" s="151" t="str">
        <f>IFERROR(VLOOKUP(K38,Recipes!$A$2:$F$208,5,FALSE)*L38,"")</f>
        <v/>
      </c>
      <c r="N38" s="151" t="str">
        <f>IFERROR(VLOOKUP(K38,Recipes!$A$2:$F$208,6,FALSE)*L38,"")</f>
        <v/>
      </c>
      <c r="O38" s="162" t="str">
        <f t="shared" si="6"/>
        <v/>
      </c>
      <c r="P38" s="16">
        <f t="shared" si="7"/>
        <v>0</v>
      </c>
    </row>
    <row r="39" spans="1:16" x14ac:dyDescent="0.25">
      <c r="A39" s="20"/>
      <c r="B39" s="1" t="s">
        <v>178</v>
      </c>
      <c r="C39" s="1" t="s">
        <v>102</v>
      </c>
      <c r="D39" s="14">
        <v>1.5</v>
      </c>
      <c r="E39" s="14">
        <f>IFERROR(VLOOKUP(C39,Recipes!$A$2:$F$208,5,FALSE)*D39,"")</f>
        <v>60</v>
      </c>
      <c r="F39" s="14">
        <f>IFERROR(VLOOKUP(C39,Recipes!$A$2:$F$208,6,FALSE)*D39,"")</f>
        <v>300</v>
      </c>
      <c r="G39" s="162">
        <f t="shared" si="4"/>
        <v>5</v>
      </c>
      <c r="H39" s="16">
        <f t="shared" si="5"/>
        <v>24</v>
      </c>
      <c r="I39" s="47"/>
      <c r="J39" s="20"/>
      <c r="K39" s="1"/>
      <c r="L39" s="14"/>
      <c r="M39" s="151" t="str">
        <f>IFERROR(VLOOKUP(K39,Recipes!$A$2:$F$208,5,FALSE)*L39,"")</f>
        <v/>
      </c>
      <c r="N39" s="151" t="str">
        <f>IFERROR(VLOOKUP(K39,Recipes!$A$2:$F$208,6,FALSE)*L39,"")</f>
        <v/>
      </c>
      <c r="O39" s="162" t="str">
        <f t="shared" si="6"/>
        <v/>
      </c>
      <c r="P39" s="16">
        <f t="shared" si="7"/>
        <v>0</v>
      </c>
    </row>
    <row r="40" spans="1:16" x14ac:dyDescent="0.25">
      <c r="A40" s="20"/>
      <c r="B40" s="1" t="s">
        <v>178</v>
      </c>
      <c r="C40" s="1" t="s">
        <v>62</v>
      </c>
      <c r="D40" s="14">
        <v>1</v>
      </c>
      <c r="E40" s="14">
        <f>IFERROR(VLOOKUP(C40,Recipes!$A$2:$F$208,5,FALSE)*D40,"")</f>
        <v>52</v>
      </c>
      <c r="F40" s="14">
        <f>IFERROR(VLOOKUP(C40,Recipes!$A$2:$F$208,6,FALSE)*D40,"")</f>
        <v>250</v>
      </c>
      <c r="G40" s="162">
        <f t="shared" si="4"/>
        <v>4.8076923076923075</v>
      </c>
      <c r="H40" s="16">
        <f t="shared" si="5"/>
        <v>16</v>
      </c>
      <c r="I40" s="47"/>
      <c r="J40" s="20"/>
      <c r="K40" s="1"/>
      <c r="L40" s="14"/>
      <c r="M40" s="151" t="str">
        <f>IFERROR(VLOOKUP(K40,Recipes!$A$2:$F$208,5,FALSE)*L40,"")</f>
        <v/>
      </c>
      <c r="N40" s="151" t="str">
        <f>IFERROR(VLOOKUP(K40,Recipes!$A$2:$F$208,6,FALSE)*L40,"")</f>
        <v/>
      </c>
      <c r="O40" s="162" t="str">
        <f t="shared" si="6"/>
        <v/>
      </c>
      <c r="P40" s="16">
        <f t="shared" si="7"/>
        <v>0</v>
      </c>
    </row>
    <row r="41" spans="1:16" x14ac:dyDescent="0.25">
      <c r="A41" s="20"/>
      <c r="B41" s="1" t="s">
        <v>177</v>
      </c>
      <c r="C41" s="1" t="s">
        <v>158</v>
      </c>
      <c r="D41" s="14">
        <v>0.35</v>
      </c>
      <c r="E41" s="14">
        <f>IFERROR(VLOOKUP(C41,Recipes!$A$2:$F$208,5,FALSE)*D41,"")</f>
        <v>34.5</v>
      </c>
      <c r="F41" s="14">
        <f>IFERROR(VLOOKUP(C41,Recipes!$A$2:$F$208,6,FALSE)*D41,"")</f>
        <v>119.99999999999999</v>
      </c>
      <c r="G41" s="162">
        <f t="shared" si="4"/>
        <v>3.4782608695652169</v>
      </c>
      <c r="H41" s="16">
        <f t="shared" si="5"/>
        <v>5.6</v>
      </c>
      <c r="I41" s="47"/>
      <c r="J41" s="20"/>
      <c r="K41" s="1"/>
      <c r="L41" s="14"/>
      <c r="M41" s="151" t="str">
        <f>IFERROR(VLOOKUP(K41,Recipes!$A$2:$F$208,5,FALSE)*L41,"")</f>
        <v/>
      </c>
      <c r="N41" s="151" t="str">
        <f>IFERROR(VLOOKUP(K41,Recipes!$A$2:$F$208,6,FALSE)*L41,"")</f>
        <v/>
      </c>
      <c r="O41" s="162" t="str">
        <f t="shared" si="6"/>
        <v/>
      </c>
      <c r="P41" s="16">
        <f t="shared" si="7"/>
        <v>0</v>
      </c>
    </row>
    <row r="42" spans="1:16" x14ac:dyDescent="0.25">
      <c r="A42" s="20"/>
      <c r="B42" s="1" t="s">
        <v>177</v>
      </c>
      <c r="C42" s="1" t="s">
        <v>161</v>
      </c>
      <c r="D42" s="14">
        <v>4</v>
      </c>
      <c r="E42" s="14">
        <f>IFERROR(VLOOKUP(C42,Recipes!$A$2:$F$208,5,FALSE)*D42,"")</f>
        <v>60</v>
      </c>
      <c r="F42" s="14">
        <f>IFERROR(VLOOKUP(C42,Recipes!$A$2:$F$208,6,FALSE)*D42,"")</f>
        <v>360</v>
      </c>
      <c r="G42" s="162">
        <f t="shared" si="4"/>
        <v>6</v>
      </c>
      <c r="H42" s="16">
        <f t="shared" si="5"/>
        <v>64</v>
      </c>
      <c r="I42" s="47"/>
      <c r="J42" s="20"/>
      <c r="K42" s="1"/>
      <c r="L42" s="14"/>
      <c r="M42" s="151" t="str">
        <f>IFERROR(VLOOKUP(K42,Recipes!$A$2:$F$208,5,FALSE)*L42,"")</f>
        <v/>
      </c>
      <c r="N42" s="151" t="str">
        <f>IFERROR(VLOOKUP(K42,Recipes!$A$2:$F$208,6,FALSE)*L42,"")</f>
        <v/>
      </c>
      <c r="O42" s="162" t="str">
        <f t="shared" si="6"/>
        <v/>
      </c>
      <c r="P42" s="16">
        <f t="shared" si="7"/>
        <v>0</v>
      </c>
    </row>
    <row r="43" spans="1:16" x14ac:dyDescent="0.25">
      <c r="A43" s="20"/>
      <c r="B43" s="1" t="s">
        <v>179</v>
      </c>
      <c r="C43" s="1" t="s">
        <v>157</v>
      </c>
      <c r="D43" s="14">
        <v>1</v>
      </c>
      <c r="E43" s="14">
        <f>IFERROR(VLOOKUP(C43,Recipes!$A$2:$F$208,5,FALSE)*D43,"")</f>
        <v>171.6</v>
      </c>
      <c r="F43" s="14">
        <f>IFERROR(VLOOKUP(C43,Recipes!$A$2:$F$208,6,FALSE)*D43,"")</f>
        <v>768.09999999999991</v>
      </c>
      <c r="G43" s="162">
        <f t="shared" si="4"/>
        <v>4.4761072261072261</v>
      </c>
      <c r="H43" s="16">
        <f t="shared" si="5"/>
        <v>16</v>
      </c>
      <c r="I43" s="47"/>
      <c r="J43" s="20"/>
      <c r="K43" s="1"/>
      <c r="L43" s="14"/>
      <c r="M43" s="151" t="str">
        <f>IFERROR(VLOOKUP(K43,Recipes!$A$2:$F$208,5,FALSE)*L43,"")</f>
        <v/>
      </c>
      <c r="N43" s="151" t="str">
        <f>IFERROR(VLOOKUP(K43,Recipes!$A$2:$F$208,6,FALSE)*L43,"")</f>
        <v/>
      </c>
      <c r="O43" s="162" t="str">
        <f t="shared" si="6"/>
        <v/>
      </c>
      <c r="P43" s="16">
        <f t="shared" si="7"/>
        <v>0</v>
      </c>
    </row>
    <row r="44" spans="1:16" x14ac:dyDescent="0.25">
      <c r="A44" s="20"/>
      <c r="B44" s="1" t="s">
        <v>178</v>
      </c>
      <c r="C44" s="1" t="s">
        <v>164</v>
      </c>
      <c r="D44" s="14">
        <v>0.91</v>
      </c>
      <c r="E44" s="14">
        <f>IFERROR(VLOOKUP(C44,Recipes!$A$2:$F$208,5,FALSE)*D44,"")</f>
        <v>51.870000000000005</v>
      </c>
      <c r="F44" s="14">
        <f>IFERROR(VLOOKUP(C44,Recipes!$A$2:$F$208,6,FALSE)*D44,"")</f>
        <v>239.33</v>
      </c>
      <c r="G44" s="162">
        <f t="shared" si="4"/>
        <v>4.6140350877192979</v>
      </c>
      <c r="H44" s="16">
        <f t="shared" si="5"/>
        <v>14.56</v>
      </c>
      <c r="I44" s="47"/>
      <c r="J44" s="20"/>
      <c r="K44" s="1"/>
      <c r="L44" s="14"/>
      <c r="M44" s="151" t="str">
        <f>IFERROR(VLOOKUP(K44,Recipes!$A$2:$F$208,5,FALSE)*L44,"")</f>
        <v/>
      </c>
      <c r="N44" s="151" t="str">
        <f>IFERROR(VLOOKUP(K44,Recipes!$A$2:$F$208,6,FALSE)*L44,"")</f>
        <v/>
      </c>
      <c r="O44" s="162" t="str">
        <f t="shared" si="6"/>
        <v/>
      </c>
      <c r="P44" s="16">
        <f t="shared" si="7"/>
        <v>0</v>
      </c>
    </row>
    <row r="45" spans="1:16" x14ac:dyDescent="0.25">
      <c r="A45" s="20"/>
      <c r="B45" s="1" t="s">
        <v>178</v>
      </c>
      <c r="C45" s="1" t="s">
        <v>165</v>
      </c>
      <c r="D45" s="14">
        <v>0.72</v>
      </c>
      <c r="E45" s="14">
        <f>IFERROR(VLOOKUP(C45,Recipes!$A$2:$F$208,5,FALSE)*D45,"")</f>
        <v>30.959999999999997</v>
      </c>
      <c r="F45" s="14">
        <f>IFERROR(VLOOKUP(C45,Recipes!$A$2:$F$208,6,FALSE)*D45,"")</f>
        <v>158.4</v>
      </c>
      <c r="G45" s="162">
        <f t="shared" si="4"/>
        <v>5.1162790697674421</v>
      </c>
      <c r="H45" s="16">
        <f t="shared" si="5"/>
        <v>11.52</v>
      </c>
      <c r="I45" s="47"/>
      <c r="J45" s="20"/>
      <c r="K45" s="1"/>
      <c r="L45" s="14"/>
      <c r="M45" s="151" t="str">
        <f>IFERROR(VLOOKUP(K45,Recipes!$A$2:$F$208,5,FALSE)*L45,"")</f>
        <v/>
      </c>
      <c r="N45" s="151" t="str">
        <f>IFERROR(VLOOKUP(K45,Recipes!$A$2:$F$208,6,FALSE)*L45,"")</f>
        <v/>
      </c>
      <c r="O45" s="162" t="str">
        <f t="shared" si="6"/>
        <v/>
      </c>
      <c r="P45" s="16">
        <f t="shared" si="7"/>
        <v>0</v>
      </c>
    </row>
    <row r="46" spans="1:16" x14ac:dyDescent="0.25">
      <c r="A46" s="20"/>
      <c r="B46" s="1"/>
      <c r="C46" s="1"/>
      <c r="D46" s="14"/>
      <c r="E46" s="14" t="str">
        <f>IFERROR(VLOOKUP(C46,Recipes!$A$2:$F$208,5,FALSE)*D46,"")</f>
        <v/>
      </c>
      <c r="F46" s="14" t="str">
        <f>IFERROR(VLOOKUP(C46,Recipes!$A$2:$F$208,6,FALSE)*D46,"")</f>
        <v/>
      </c>
      <c r="G46" s="162" t="str">
        <f t="shared" si="4"/>
        <v/>
      </c>
      <c r="H46" s="16">
        <f t="shared" si="5"/>
        <v>0</v>
      </c>
      <c r="I46" s="47"/>
      <c r="J46" s="20"/>
      <c r="K46" s="1"/>
      <c r="L46" s="14"/>
      <c r="M46" s="151" t="str">
        <f>IFERROR(VLOOKUP(K46,Recipes!$A$2:$F$208,5,FALSE)*L46,"")</f>
        <v/>
      </c>
      <c r="N46" s="151" t="str">
        <f>IFERROR(VLOOKUP(K46,Recipes!$A$2:$F$208,6,FALSE)*L46,"")</f>
        <v/>
      </c>
      <c r="O46" s="162" t="str">
        <f t="shared" si="6"/>
        <v/>
      </c>
      <c r="P46" s="16">
        <f t="shared" si="7"/>
        <v>0</v>
      </c>
    </row>
    <row r="47" spans="1:16" x14ac:dyDescent="0.25">
      <c r="A47" s="20"/>
      <c r="B47" s="1"/>
      <c r="C47" s="1"/>
      <c r="D47" s="14"/>
      <c r="E47" s="14" t="str">
        <f>IFERROR(VLOOKUP(C47,Recipes!$A$2:$F$208,5,FALSE)*D47,"")</f>
        <v/>
      </c>
      <c r="F47" s="14" t="str">
        <f>IFERROR(VLOOKUP(C47,Recipes!$A$2:$F$208,6,FALSE)*D47,"")</f>
        <v/>
      </c>
      <c r="G47" s="162" t="str">
        <f t="shared" si="4"/>
        <v/>
      </c>
      <c r="H47" s="16">
        <f t="shared" si="5"/>
        <v>0</v>
      </c>
      <c r="I47" s="47"/>
      <c r="J47" s="20"/>
      <c r="K47" s="1"/>
      <c r="L47" s="14"/>
      <c r="M47" s="151" t="str">
        <f>IFERROR(VLOOKUP(K47,Recipes!$A$2:$F$208,5,FALSE)*L47,"")</f>
        <v/>
      </c>
      <c r="N47" s="151" t="str">
        <f>IFERROR(VLOOKUP(K47,Recipes!$A$2:$F$208,6,FALSE)*L47,"")</f>
        <v/>
      </c>
      <c r="O47" s="162" t="str">
        <f t="shared" si="6"/>
        <v/>
      </c>
      <c r="P47" s="16">
        <f t="shared" si="7"/>
        <v>0</v>
      </c>
    </row>
    <row r="48" spans="1:16" x14ac:dyDescent="0.25">
      <c r="A48" s="20"/>
      <c r="B48" s="1"/>
      <c r="C48" s="1"/>
      <c r="D48" s="14"/>
      <c r="E48" s="14" t="str">
        <f>IFERROR(VLOOKUP(C48,Recipes!$A$2:$F$208,5,FALSE)*D48,"")</f>
        <v/>
      </c>
      <c r="F48" s="14" t="str">
        <f>IFERROR(VLOOKUP(C48,Recipes!$A$2:$F$208,6,FALSE)*D48,"")</f>
        <v/>
      </c>
      <c r="G48" s="162" t="str">
        <f t="shared" si="4"/>
        <v/>
      </c>
      <c r="H48" s="16">
        <f t="shared" si="5"/>
        <v>0</v>
      </c>
      <c r="I48" s="47"/>
      <c r="J48" s="20"/>
      <c r="K48" s="1"/>
      <c r="L48" s="14"/>
      <c r="M48" s="151" t="str">
        <f>IFERROR(VLOOKUP(K48,Recipes!$A$2:$F$208,5,FALSE)*L48,"")</f>
        <v/>
      </c>
      <c r="N48" s="151" t="str">
        <f>IFERROR(VLOOKUP(K48,Recipes!$A$2:$F$208,6,FALSE)*L48,"")</f>
        <v/>
      </c>
      <c r="O48" s="162" t="str">
        <f t="shared" si="6"/>
        <v/>
      </c>
      <c r="P48" s="16">
        <f t="shared" si="7"/>
        <v>0</v>
      </c>
    </row>
    <row r="49" spans="1:16" x14ac:dyDescent="0.25">
      <c r="A49" s="20"/>
      <c r="B49" s="1"/>
      <c r="C49" s="1"/>
      <c r="D49" s="14"/>
      <c r="E49" s="14" t="str">
        <f>IFERROR(VLOOKUP(C49,Recipes!$A$2:$F$208,5,FALSE)*D49,"")</f>
        <v/>
      </c>
      <c r="F49" s="14" t="str">
        <f>IFERROR(VLOOKUP(C49,Recipes!$A$2:$F$208,6,FALSE)*D49,"")</f>
        <v/>
      </c>
      <c r="G49" s="162" t="str">
        <f t="shared" si="4"/>
        <v/>
      </c>
      <c r="H49" s="16">
        <f t="shared" si="5"/>
        <v>0</v>
      </c>
      <c r="I49" s="47"/>
      <c r="J49" s="20"/>
      <c r="K49" s="1"/>
      <c r="L49" s="14"/>
      <c r="M49" s="151" t="str">
        <f>IFERROR(VLOOKUP(K49,Recipes!$A$2:$F$208,5,FALSE)*L49,"")</f>
        <v/>
      </c>
      <c r="N49" s="151" t="str">
        <f>IFERROR(VLOOKUP(K49,Recipes!$A$2:$F$208,6,FALSE)*L49,"")</f>
        <v/>
      </c>
      <c r="O49" s="162" t="str">
        <f t="shared" si="6"/>
        <v/>
      </c>
      <c r="P49" s="16">
        <f t="shared" si="7"/>
        <v>0</v>
      </c>
    </row>
    <row r="50" spans="1:16" x14ac:dyDescent="0.25">
      <c r="A50" s="20"/>
      <c r="B50" s="1"/>
      <c r="C50" s="1"/>
      <c r="D50" s="14"/>
      <c r="E50" s="14" t="str">
        <f>IFERROR(VLOOKUP(C50,Recipes!$A$2:$F$208,5,FALSE)*D50,"")</f>
        <v/>
      </c>
      <c r="F50" s="14" t="str">
        <f>IFERROR(VLOOKUP(C50,Recipes!$A$2:$F$208,6,FALSE)*D50,"")</f>
        <v/>
      </c>
      <c r="G50" s="162" t="str">
        <f t="shared" si="4"/>
        <v/>
      </c>
      <c r="H50" s="16">
        <f t="shared" si="5"/>
        <v>0</v>
      </c>
      <c r="I50" s="47"/>
      <c r="J50" s="20"/>
      <c r="K50" s="1"/>
      <c r="L50" s="14"/>
      <c r="M50" s="151" t="str">
        <f>IFERROR(VLOOKUP(K50,Recipes!$A$2:$F$208,5,FALSE)*L50,"")</f>
        <v/>
      </c>
      <c r="N50" s="151" t="str">
        <f>IFERROR(VLOOKUP(K50,Recipes!$A$2:$F$208,6,FALSE)*L50,"")</f>
        <v/>
      </c>
      <c r="O50" s="162" t="str">
        <f t="shared" si="6"/>
        <v/>
      </c>
      <c r="P50" s="16">
        <f t="shared" si="7"/>
        <v>0</v>
      </c>
    </row>
    <row r="51" spans="1:16" x14ac:dyDescent="0.25">
      <c r="A51" s="20"/>
      <c r="B51" s="1"/>
      <c r="C51" s="1"/>
      <c r="D51" s="14"/>
      <c r="E51" s="14" t="str">
        <f>IFERROR(VLOOKUP(C51,Recipes!$A$2:$F$208,5,FALSE)*D51,"")</f>
        <v/>
      </c>
      <c r="F51" s="14" t="str">
        <f>IFERROR(VLOOKUP(C51,Recipes!$A$2:$F$208,6,FALSE)*D51,"")</f>
        <v/>
      </c>
      <c r="G51" s="162" t="str">
        <f t="shared" si="4"/>
        <v/>
      </c>
      <c r="H51" s="16">
        <f t="shared" si="5"/>
        <v>0</v>
      </c>
      <c r="I51" s="47"/>
      <c r="J51" s="20"/>
      <c r="K51" s="1"/>
      <c r="L51" s="14"/>
      <c r="M51" s="151" t="str">
        <f>IFERROR(VLOOKUP(K51,Recipes!$A$2:$F$208,5,FALSE)*L51,"")</f>
        <v/>
      </c>
      <c r="N51" s="151" t="str">
        <f>IFERROR(VLOOKUP(K51,Recipes!$A$2:$F$208,6,FALSE)*L51,"")</f>
        <v/>
      </c>
      <c r="O51" s="162" t="str">
        <f t="shared" si="6"/>
        <v/>
      </c>
      <c r="P51" s="16">
        <f t="shared" si="7"/>
        <v>0</v>
      </c>
    </row>
    <row r="52" spans="1:16" x14ac:dyDescent="0.25">
      <c r="A52" s="20"/>
      <c r="B52" s="1"/>
      <c r="C52" s="1"/>
      <c r="D52" s="14"/>
      <c r="E52" s="14" t="str">
        <f>IFERROR(VLOOKUP(C52,Recipes!$A$2:$F$208,5,FALSE)*D52,"")</f>
        <v/>
      </c>
      <c r="F52" s="14" t="str">
        <f>IFERROR(VLOOKUP(C52,Recipes!$A$2:$F$208,6,FALSE)*D52,"")</f>
        <v/>
      </c>
      <c r="G52" s="162" t="str">
        <f t="shared" si="4"/>
        <v/>
      </c>
      <c r="H52" s="16">
        <f t="shared" si="5"/>
        <v>0</v>
      </c>
      <c r="I52" s="47"/>
      <c r="J52" s="20"/>
      <c r="K52" s="1"/>
      <c r="L52" s="14"/>
      <c r="M52" s="151" t="str">
        <f>IFERROR(VLOOKUP(K52,Recipes!$A$2:$F$208,5,FALSE)*L52,"")</f>
        <v/>
      </c>
      <c r="N52" s="151" t="str">
        <f>IFERROR(VLOOKUP(K52,Recipes!$A$2:$F$208,6,FALSE)*L52,"")</f>
        <v/>
      </c>
      <c r="O52" s="162" t="str">
        <f t="shared" si="6"/>
        <v/>
      </c>
      <c r="P52" s="16">
        <f t="shared" si="7"/>
        <v>0</v>
      </c>
    </row>
    <row r="53" spans="1:16" x14ac:dyDescent="0.25">
      <c r="A53" s="20"/>
      <c r="B53" s="1"/>
      <c r="C53" s="1"/>
      <c r="D53" s="14"/>
      <c r="E53" s="14" t="str">
        <f>IFERROR(VLOOKUP(C53,Recipes!$A$2:$F$208,5,FALSE)*D53,"")</f>
        <v/>
      </c>
      <c r="F53" s="14" t="str">
        <f>IFERROR(VLOOKUP(C53,Recipes!$A$2:$F$208,6,FALSE)*D53,"")</f>
        <v/>
      </c>
      <c r="G53" s="162" t="str">
        <f t="shared" si="4"/>
        <v/>
      </c>
      <c r="H53" s="16">
        <f t="shared" si="5"/>
        <v>0</v>
      </c>
      <c r="I53" s="47"/>
      <c r="J53" s="20"/>
      <c r="K53" s="1"/>
      <c r="L53" s="14"/>
      <c r="M53" s="151" t="str">
        <f>IFERROR(VLOOKUP(K53,Recipes!$A$2:$F$208,5,FALSE)*L53,"")</f>
        <v/>
      </c>
      <c r="N53" s="151" t="str">
        <f>IFERROR(VLOOKUP(K53,Recipes!$A$2:$F$208,6,FALSE)*L53,"")</f>
        <v/>
      </c>
      <c r="O53" s="162" t="str">
        <f t="shared" si="6"/>
        <v/>
      </c>
      <c r="P53" s="16">
        <f t="shared" si="7"/>
        <v>0</v>
      </c>
    </row>
    <row r="54" spans="1:16" x14ac:dyDescent="0.25">
      <c r="A54" s="20"/>
      <c r="B54" s="1"/>
      <c r="C54" s="1"/>
      <c r="D54" s="14"/>
      <c r="E54" s="14" t="str">
        <f>IFERROR(VLOOKUP(C54,Recipes!$A$2:$F$208,5,FALSE)*D54,"")</f>
        <v/>
      </c>
      <c r="F54" s="14" t="str">
        <f>IFERROR(VLOOKUP(C54,Recipes!$A$2:$F$208,6,FALSE)*D54,"")</f>
        <v/>
      </c>
      <c r="G54" s="162" t="str">
        <f t="shared" si="4"/>
        <v/>
      </c>
      <c r="H54" s="16">
        <f t="shared" si="5"/>
        <v>0</v>
      </c>
      <c r="I54" s="47"/>
      <c r="J54" s="20"/>
      <c r="K54" s="1"/>
      <c r="L54" s="14"/>
      <c r="M54" s="151" t="str">
        <f>IFERROR(VLOOKUP(K54,Recipes!$A$2:$F$208,5,FALSE)*L54,"")</f>
        <v/>
      </c>
      <c r="N54" s="151" t="str">
        <f>IFERROR(VLOOKUP(K54,Recipes!$A$2:$F$208,6,FALSE)*L54,"")</f>
        <v/>
      </c>
      <c r="O54" s="162" t="str">
        <f t="shared" si="6"/>
        <v/>
      </c>
      <c r="P54" s="16">
        <f t="shared" si="7"/>
        <v>0</v>
      </c>
    </row>
    <row r="55" spans="1:16" x14ac:dyDescent="0.25">
      <c r="A55" s="20"/>
      <c r="B55" s="1"/>
      <c r="C55" s="1"/>
      <c r="D55" s="14"/>
      <c r="E55" s="14" t="str">
        <f>IFERROR(VLOOKUP(C55,Recipes!$A$2:$F$208,5,FALSE)*D55,"")</f>
        <v/>
      </c>
      <c r="F55" s="14" t="str">
        <f>IFERROR(VLOOKUP(C55,Recipes!$A$2:$F$208,6,FALSE)*D55,"")</f>
        <v/>
      </c>
      <c r="G55" s="162" t="str">
        <f t="shared" si="4"/>
        <v/>
      </c>
      <c r="H55" s="16">
        <f t="shared" si="5"/>
        <v>0</v>
      </c>
      <c r="I55" s="47"/>
      <c r="J55" s="20"/>
      <c r="K55" s="1"/>
      <c r="L55" s="14"/>
      <c r="M55" s="151" t="str">
        <f>IFERROR(VLOOKUP(K55,Recipes!$A$2:$F$208,5,FALSE)*L55,"")</f>
        <v/>
      </c>
      <c r="N55" s="151" t="str">
        <f>IFERROR(VLOOKUP(K55,Recipes!$A$2:$F$208,6,FALSE)*L55,"")</f>
        <v/>
      </c>
      <c r="O55" s="162" t="str">
        <f t="shared" si="6"/>
        <v/>
      </c>
      <c r="P55" s="16">
        <f t="shared" si="7"/>
        <v>0</v>
      </c>
    </row>
    <row r="56" spans="1:16" x14ac:dyDescent="0.25">
      <c r="A56" s="20"/>
      <c r="B56" s="1"/>
      <c r="C56" s="1"/>
      <c r="D56" s="14"/>
      <c r="E56" s="14" t="str">
        <f>IFERROR(VLOOKUP(C56,Recipes!$A$2:$F$208,5,FALSE)*D56,"")</f>
        <v/>
      </c>
      <c r="F56" s="14" t="str">
        <f>IFERROR(VLOOKUP(C56,Recipes!$A$2:$F$208,6,FALSE)*D56,"")</f>
        <v/>
      </c>
      <c r="G56" s="162" t="str">
        <f t="shared" si="4"/>
        <v/>
      </c>
      <c r="H56" s="16">
        <f t="shared" si="5"/>
        <v>0</v>
      </c>
      <c r="I56" s="47"/>
      <c r="J56" s="20"/>
      <c r="K56" s="1"/>
      <c r="L56" s="14"/>
      <c r="M56" s="151" t="str">
        <f>IFERROR(VLOOKUP(K56,Recipes!$A$2:$F$208,5,FALSE)*L56,"")</f>
        <v/>
      </c>
      <c r="N56" s="151" t="str">
        <f>IFERROR(VLOOKUP(K56,Recipes!$A$2:$F$208,6,FALSE)*L56,"")</f>
        <v/>
      </c>
      <c r="O56" s="162" t="str">
        <f t="shared" si="6"/>
        <v/>
      </c>
      <c r="P56" s="16">
        <f t="shared" si="7"/>
        <v>0</v>
      </c>
    </row>
    <row r="57" spans="1:16" x14ac:dyDescent="0.25">
      <c r="A57" s="20"/>
      <c r="B57" s="1"/>
      <c r="C57" s="1"/>
      <c r="D57" s="14"/>
      <c r="E57" s="14" t="str">
        <f>IFERROR(VLOOKUP(C57,Recipes!$A$2:$F$208,5,FALSE)*D57,"")</f>
        <v/>
      </c>
      <c r="F57" s="14" t="str">
        <f>IFERROR(VLOOKUP(C57,Recipes!$A$2:$F$208,6,FALSE)*D57,"")</f>
        <v/>
      </c>
      <c r="G57" s="162" t="str">
        <f t="shared" si="4"/>
        <v/>
      </c>
      <c r="H57" s="16">
        <f t="shared" si="5"/>
        <v>0</v>
      </c>
      <c r="I57" s="47"/>
      <c r="J57" s="20"/>
      <c r="K57" s="1"/>
      <c r="L57" s="14"/>
      <c r="M57" s="151" t="str">
        <f>IFERROR(VLOOKUP(K57,Recipes!$A$2:$F$208,5,FALSE)*L57,"")</f>
        <v/>
      </c>
      <c r="N57" s="151" t="str">
        <f>IFERROR(VLOOKUP(K57,Recipes!$A$2:$F$208,6,FALSE)*L57,"")</f>
        <v/>
      </c>
      <c r="O57" s="162" t="str">
        <f t="shared" si="6"/>
        <v/>
      </c>
      <c r="P57" s="16">
        <f t="shared" si="7"/>
        <v>0</v>
      </c>
    </row>
    <row r="58" spans="1:16" ht="15.75" thickBot="1" x14ac:dyDescent="0.3">
      <c r="A58" s="21"/>
      <c r="B58" s="8"/>
      <c r="C58" s="8"/>
      <c r="D58" s="15"/>
      <c r="E58" s="15" t="str">
        <f>IFERROR(VLOOKUP(C58,Recipes!$A$2:$F$208,5,FALSE)*D58,"")</f>
        <v/>
      </c>
      <c r="F58" s="15" t="str">
        <f>IFERROR(VLOOKUP(C58,Recipes!$A$2:$F$208,6,FALSE)*D58,"")</f>
        <v/>
      </c>
      <c r="G58" s="163" t="str">
        <f t="shared" si="4"/>
        <v/>
      </c>
      <c r="H58" s="17">
        <f t="shared" si="5"/>
        <v>0</v>
      </c>
      <c r="I58" s="47"/>
      <c r="J58" s="21"/>
      <c r="K58" s="8"/>
      <c r="L58" s="15"/>
      <c r="M58" s="152" t="str">
        <f>IFERROR(VLOOKUP(K58,Recipes!$A$2:$F$208,5,FALSE)*L58,"")</f>
        <v/>
      </c>
      <c r="N58" s="152" t="str">
        <f>IFERROR(VLOOKUP(K58,Recipes!$A$2:$F$208,6,FALSE)*L58,"")</f>
        <v/>
      </c>
      <c r="O58" s="163" t="str">
        <f t="shared" si="6"/>
        <v/>
      </c>
      <c r="P58" s="17">
        <f t="shared" si="7"/>
        <v>0</v>
      </c>
    </row>
    <row r="59" spans="1:16" ht="15.75" thickBot="1" x14ac:dyDescent="0.3">
      <c r="A59" s="134" t="s">
        <v>181</v>
      </c>
      <c r="B59" s="135"/>
      <c r="C59" s="135"/>
      <c r="D59" s="135"/>
      <c r="E59" s="145">
        <f>SUM(E60:E86)</f>
        <v>831.23</v>
      </c>
      <c r="F59" s="145">
        <f>SUM(F60:F86)</f>
        <v>3460.4500000000003</v>
      </c>
      <c r="G59" s="164">
        <f>IFERROR(F59/E59,"")</f>
        <v>4.1630475319706939</v>
      </c>
      <c r="H59" s="146">
        <f>COUNTIF(Meal_Itinerary!C:C,Meals!A59)</f>
        <v>15</v>
      </c>
      <c r="I59" s="109"/>
      <c r="J59" s="138"/>
      <c r="K59" s="135"/>
      <c r="L59" s="135"/>
      <c r="M59" s="148">
        <f>SUM(M60:M86)</f>
        <v>808.17142857142858</v>
      </c>
      <c r="N59" s="148">
        <f>SUM(N60:N86)</f>
        <v>3520.1571428571428</v>
      </c>
      <c r="O59" s="160">
        <f>IFERROR(N59/M59,"")</f>
        <v>4.3557060029696668</v>
      </c>
      <c r="P59" s="147">
        <f>COUNTIF(Meal_Itinerary!E:E,Meals!A59)</f>
        <v>9</v>
      </c>
    </row>
    <row r="60" spans="1:16" x14ac:dyDescent="0.25">
      <c r="A60" s="23"/>
      <c r="B60" s="10" t="s">
        <v>176</v>
      </c>
      <c r="C60" s="10" t="s">
        <v>163</v>
      </c>
      <c r="D60" s="112">
        <v>1</v>
      </c>
      <c r="E60" s="112">
        <f>IFERROR(VLOOKUP(C60,Recipes!$A$2:$F$208,5,FALSE)*D60,"")</f>
        <v>70</v>
      </c>
      <c r="F60" s="112">
        <f>IFERROR(VLOOKUP(C60,Recipes!$A$2:$F$208,6,FALSE)*D60,"")</f>
        <v>290</v>
      </c>
      <c r="G60" s="161">
        <f>IFERROR(F60/E60,"")</f>
        <v>4.1428571428571432</v>
      </c>
      <c r="H60" s="136">
        <f>$H$59*D60</f>
        <v>15</v>
      </c>
      <c r="I60" s="47"/>
      <c r="J60" s="23" t="s">
        <v>176</v>
      </c>
      <c r="K60" s="10" t="s">
        <v>148</v>
      </c>
      <c r="L60" s="112">
        <v>1</v>
      </c>
      <c r="M60" s="150">
        <f>IFERROR(VLOOKUP(K60,Recipes!$A$2:$F$208,5,FALSE)*L60,"")</f>
        <v>141.6</v>
      </c>
      <c r="N60" s="150">
        <f>IFERROR(VLOOKUP(K60,Recipes!$A$2:$F$208,6,FALSE)*L60,"")</f>
        <v>640</v>
      </c>
      <c r="O60" s="161">
        <f>IFERROR(N60/M60,"")</f>
        <v>4.5197740112994351</v>
      </c>
      <c r="P60" s="136">
        <f>$P$59*L60</f>
        <v>9</v>
      </c>
    </row>
    <row r="61" spans="1:16" x14ac:dyDescent="0.25">
      <c r="A61" s="20"/>
      <c r="B61" s="1" t="s">
        <v>177</v>
      </c>
      <c r="C61" s="1" t="s">
        <v>109</v>
      </c>
      <c r="D61" s="14">
        <v>0.5</v>
      </c>
      <c r="E61" s="14">
        <f>IFERROR(VLOOKUP(C61,Recipes!$A$2:$F$208,5,FALSE)*D61,"")</f>
        <v>75</v>
      </c>
      <c r="F61" s="14">
        <f>IFERROR(VLOOKUP(C61,Recipes!$A$2:$F$208,6,FALSE)*D61,"")</f>
        <v>50</v>
      </c>
      <c r="G61" s="162">
        <f t="shared" ref="G61:G86" si="8">IFERROR(F61/E61,"")</f>
        <v>0.66666666666666663</v>
      </c>
      <c r="H61" s="16">
        <f t="shared" ref="H61:H86" si="9">$H$59*D61</f>
        <v>7.5</v>
      </c>
      <c r="I61" s="47"/>
      <c r="J61" s="20" t="s">
        <v>178</v>
      </c>
      <c r="K61" s="1" t="s">
        <v>149</v>
      </c>
      <c r="L61" s="14">
        <v>1</v>
      </c>
      <c r="M61" s="151">
        <f>IFERROR(VLOOKUP(K61,Recipes!$A$2:$F$208,5,FALSE)*L61,"")</f>
        <v>184</v>
      </c>
      <c r="N61" s="151">
        <f>IFERROR(VLOOKUP(K61,Recipes!$A$2:$F$208,6,FALSE)*L61,"")</f>
        <v>950</v>
      </c>
      <c r="O61" s="162">
        <f t="shared" ref="O61:O86" si="10">IFERROR(N61/M61,"")</f>
        <v>5.1630434782608692</v>
      </c>
      <c r="P61" s="16">
        <f t="shared" ref="P61:P86" si="11">$P$59*L61</f>
        <v>9</v>
      </c>
    </row>
    <row r="62" spans="1:16" x14ac:dyDescent="0.25">
      <c r="A62" s="20"/>
      <c r="B62" s="1" t="s">
        <v>177</v>
      </c>
      <c r="C62" s="1" t="s">
        <v>143</v>
      </c>
      <c r="D62" s="14">
        <v>0.5</v>
      </c>
      <c r="E62" s="14">
        <f>IFERROR(VLOOKUP(C62,Recipes!$A$2:$F$208,5,FALSE)*D62,"")</f>
        <v>100</v>
      </c>
      <c r="F62" s="14">
        <f>IFERROR(VLOOKUP(C62,Recipes!$A$2:$F$208,6,FALSE)*D62,"")</f>
        <v>426</v>
      </c>
      <c r="G62" s="162">
        <f t="shared" si="8"/>
        <v>4.26</v>
      </c>
      <c r="H62" s="16">
        <f t="shared" si="9"/>
        <v>7.5</v>
      </c>
      <c r="I62" s="47"/>
      <c r="J62" s="20" t="s">
        <v>177</v>
      </c>
      <c r="K62" s="1" t="s">
        <v>143</v>
      </c>
      <c r="L62" s="14">
        <v>0.5</v>
      </c>
      <c r="M62" s="158">
        <f>IFERROR(VLOOKUP(K62,Recipes!$A$2:$F$208,5,FALSE)*L62,"")</f>
        <v>100</v>
      </c>
      <c r="N62" s="151">
        <f>IFERROR(VLOOKUP(K62,Recipes!$A$2:$F$208,6,FALSE)*L62,"")</f>
        <v>426</v>
      </c>
      <c r="O62" s="162">
        <f t="shared" si="10"/>
        <v>4.26</v>
      </c>
      <c r="P62" s="16">
        <f t="shared" si="11"/>
        <v>4.5</v>
      </c>
    </row>
    <row r="63" spans="1:16" x14ac:dyDescent="0.25">
      <c r="A63" s="20"/>
      <c r="B63" s="1" t="s">
        <v>178</v>
      </c>
      <c r="C63" s="1" t="s">
        <v>163</v>
      </c>
      <c r="D63" s="14">
        <v>0</v>
      </c>
      <c r="E63" s="14">
        <f>IFERROR(VLOOKUP(C63,Recipes!$A$2:$F$208,5,FALSE)*D63,"")</f>
        <v>0</v>
      </c>
      <c r="F63" s="14">
        <f>IFERROR(VLOOKUP(C63,Recipes!$A$2:$F$208,6,FALSE)*D63,"")</f>
        <v>0</v>
      </c>
      <c r="G63" s="162" t="str">
        <f t="shared" si="8"/>
        <v/>
      </c>
      <c r="H63" s="16">
        <f t="shared" si="9"/>
        <v>0</v>
      </c>
      <c r="I63" s="47"/>
      <c r="J63" s="20" t="s">
        <v>178</v>
      </c>
      <c r="K63" s="1" t="s">
        <v>162</v>
      </c>
      <c r="L63" s="14">
        <v>2</v>
      </c>
      <c r="M63" s="151">
        <f>IFERROR(VLOOKUP(K63,Recipes!$A$2:$F$208,5,FALSE)*L63,"")</f>
        <v>100</v>
      </c>
      <c r="N63" s="151">
        <f>IFERROR(VLOOKUP(K63,Recipes!$A$2:$F$208,6,FALSE)*L63,"")</f>
        <v>560</v>
      </c>
      <c r="O63" s="162">
        <f t="shared" si="10"/>
        <v>5.6</v>
      </c>
      <c r="P63" s="16">
        <f t="shared" si="11"/>
        <v>18</v>
      </c>
    </row>
    <row r="64" spans="1:16" x14ac:dyDescent="0.25">
      <c r="A64" s="20"/>
      <c r="B64" s="1" t="s">
        <v>178</v>
      </c>
      <c r="C64" s="1" t="s">
        <v>100</v>
      </c>
      <c r="D64" s="14">
        <v>1.5</v>
      </c>
      <c r="E64" s="14">
        <f>IFERROR(VLOOKUP(C64,Recipes!$A$2:$F$208,5,FALSE)*D64,"")</f>
        <v>102</v>
      </c>
      <c r="F64" s="14">
        <f>IFERROR(VLOOKUP(C64,Recipes!$A$2:$F$208,6,FALSE)*D64,"")</f>
        <v>375</v>
      </c>
      <c r="G64" s="162">
        <f t="shared" si="8"/>
        <v>3.6764705882352939</v>
      </c>
      <c r="H64" s="16">
        <f t="shared" si="9"/>
        <v>22.5</v>
      </c>
      <c r="I64" s="47"/>
      <c r="J64" s="20" t="s">
        <v>179</v>
      </c>
      <c r="K64" s="1" t="s">
        <v>152</v>
      </c>
      <c r="L64" s="14">
        <v>1</v>
      </c>
      <c r="M64" s="151">
        <f>IFERROR(VLOOKUP(K64,Recipes!$A$2:$F$208,5,FALSE)*L64,"")</f>
        <v>184</v>
      </c>
      <c r="N64" s="151">
        <f>IFERROR(VLOOKUP(K64,Recipes!$A$2:$F$208,6,FALSE)*L64,"")</f>
        <v>601.29999999999995</v>
      </c>
      <c r="O64" s="162">
        <f t="shared" si="10"/>
        <v>3.2679347826086955</v>
      </c>
      <c r="P64" s="16">
        <f t="shared" si="11"/>
        <v>9</v>
      </c>
    </row>
    <row r="65" spans="1:16" x14ac:dyDescent="0.25">
      <c r="A65" s="20"/>
      <c r="B65" s="1" t="s">
        <v>178</v>
      </c>
      <c r="C65" s="1" t="s">
        <v>102</v>
      </c>
      <c r="D65" s="14">
        <v>1.5</v>
      </c>
      <c r="E65" s="14">
        <f>IFERROR(VLOOKUP(C65,Recipes!$A$2:$F$208,5,FALSE)*D65,"")</f>
        <v>60</v>
      </c>
      <c r="F65" s="14">
        <f>IFERROR(VLOOKUP(C65,Recipes!$A$2:$F$208,6,FALSE)*D65,"")</f>
        <v>300</v>
      </c>
      <c r="G65" s="162">
        <f t="shared" si="8"/>
        <v>5</v>
      </c>
      <c r="H65" s="16">
        <f t="shared" si="9"/>
        <v>22.5</v>
      </c>
      <c r="I65" s="47"/>
      <c r="J65" s="20" t="s">
        <v>178</v>
      </c>
      <c r="K65" s="1" t="s">
        <v>158</v>
      </c>
      <c r="L65" s="14">
        <v>1</v>
      </c>
      <c r="M65" s="151">
        <f>IFERROR(VLOOKUP(K65,Recipes!$A$2:$F$208,5,FALSE)*L65,"")</f>
        <v>98.571428571428569</v>
      </c>
      <c r="N65" s="151">
        <f>IFERROR(VLOOKUP(K65,Recipes!$A$2:$F$208,6,FALSE)*L65,"")</f>
        <v>342.85714285714283</v>
      </c>
      <c r="O65" s="162">
        <f t="shared" si="10"/>
        <v>3.4782608695652173</v>
      </c>
      <c r="P65" s="16">
        <f t="shared" si="11"/>
        <v>9</v>
      </c>
    </row>
    <row r="66" spans="1:16" x14ac:dyDescent="0.25">
      <c r="A66" s="20"/>
      <c r="B66" s="1" t="s">
        <v>178</v>
      </c>
      <c r="C66" s="1" t="s">
        <v>62</v>
      </c>
      <c r="D66" s="14">
        <v>1</v>
      </c>
      <c r="E66" s="14">
        <f>IFERROR(VLOOKUP(C66,Recipes!$A$2:$F$208,5,FALSE)*D66,"")</f>
        <v>52</v>
      </c>
      <c r="F66" s="14">
        <f>IFERROR(VLOOKUP(C66,Recipes!$A$2:$F$208,6,FALSE)*D66,"")</f>
        <v>250</v>
      </c>
      <c r="G66" s="162">
        <f t="shared" si="8"/>
        <v>4.8076923076923075</v>
      </c>
      <c r="H66" s="16">
        <f t="shared" si="9"/>
        <v>15</v>
      </c>
      <c r="I66" s="47"/>
      <c r="J66" s="20"/>
      <c r="K66" s="1"/>
      <c r="L66" s="14"/>
      <c r="M66" s="151" t="str">
        <f>IFERROR(VLOOKUP(K66,Recipes!$A$2:$F$208,5,FALSE)*L66,"")</f>
        <v/>
      </c>
      <c r="N66" s="151" t="str">
        <f>IFERROR(VLOOKUP(K66,Recipes!$A$2:$F$208,6,FALSE)*L66,"")</f>
        <v/>
      </c>
      <c r="O66" s="162" t="str">
        <f t="shared" si="10"/>
        <v/>
      </c>
      <c r="P66" s="16">
        <f t="shared" si="11"/>
        <v>0</v>
      </c>
    </row>
    <row r="67" spans="1:16" x14ac:dyDescent="0.25">
      <c r="A67" s="20"/>
      <c r="B67" s="1" t="s">
        <v>177</v>
      </c>
      <c r="C67" s="1" t="s">
        <v>158</v>
      </c>
      <c r="D67" s="14">
        <v>0.35</v>
      </c>
      <c r="E67" s="14">
        <f>IFERROR(VLOOKUP(C67,Recipes!$A$2:$F$208,5,FALSE)*D67,"")</f>
        <v>34.5</v>
      </c>
      <c r="F67" s="14">
        <f>IFERROR(VLOOKUP(C67,Recipes!$A$2:$F$208,6,FALSE)*D67,"")</f>
        <v>119.99999999999999</v>
      </c>
      <c r="G67" s="162">
        <f t="shared" si="8"/>
        <v>3.4782608695652169</v>
      </c>
      <c r="H67" s="16">
        <f t="shared" si="9"/>
        <v>5.25</v>
      </c>
      <c r="I67" s="47"/>
      <c r="J67" s="20"/>
      <c r="K67" s="1"/>
      <c r="L67" s="14"/>
      <c r="M67" s="151" t="str">
        <f>IFERROR(VLOOKUP(K67,Recipes!$A$2:$F$208,5,FALSE)*L67,"")</f>
        <v/>
      </c>
      <c r="N67" s="151" t="str">
        <f>IFERROR(VLOOKUP(K67,Recipes!$A$2:$F$208,6,FALSE)*L67,"")</f>
        <v/>
      </c>
      <c r="O67" s="162" t="str">
        <f t="shared" si="10"/>
        <v/>
      </c>
      <c r="P67" s="16">
        <f t="shared" si="11"/>
        <v>0</v>
      </c>
    </row>
    <row r="68" spans="1:16" x14ac:dyDescent="0.25">
      <c r="A68" s="20"/>
      <c r="B68" s="1" t="s">
        <v>177</v>
      </c>
      <c r="C68" s="1" t="s">
        <v>161</v>
      </c>
      <c r="D68" s="14">
        <v>4</v>
      </c>
      <c r="E68" s="14">
        <f>IFERROR(VLOOKUP(C68,Recipes!$A$2:$F$208,5,FALSE)*D68,"")</f>
        <v>60</v>
      </c>
      <c r="F68" s="14">
        <f>IFERROR(VLOOKUP(C68,Recipes!$A$2:$F$208,6,FALSE)*D68,"")</f>
        <v>360</v>
      </c>
      <c r="G68" s="162">
        <f t="shared" si="8"/>
        <v>6</v>
      </c>
      <c r="H68" s="16">
        <f t="shared" si="9"/>
        <v>60</v>
      </c>
      <c r="I68" s="47"/>
      <c r="J68" s="20"/>
      <c r="K68" s="1"/>
      <c r="L68" s="14"/>
      <c r="M68" s="151" t="str">
        <f>IFERROR(VLOOKUP(K68,Recipes!$A$2:$F$208,5,FALSE)*L68,"")</f>
        <v/>
      </c>
      <c r="N68" s="151" t="str">
        <f>IFERROR(VLOOKUP(K68,Recipes!$A$2:$F$208,6,FALSE)*L68,"")</f>
        <v/>
      </c>
      <c r="O68" s="162" t="str">
        <f t="shared" si="10"/>
        <v/>
      </c>
      <c r="P68" s="16">
        <f t="shared" si="11"/>
        <v>0</v>
      </c>
    </row>
    <row r="69" spans="1:16" x14ac:dyDescent="0.25">
      <c r="A69" s="20"/>
      <c r="B69" s="1" t="s">
        <v>178</v>
      </c>
      <c r="C69" s="1" t="s">
        <v>151</v>
      </c>
      <c r="D69" s="14">
        <v>0.3</v>
      </c>
      <c r="E69" s="14">
        <f>IFERROR(VLOOKUP(C69,Recipes!$A$2:$F$208,5,FALSE)*D69,"")</f>
        <v>37.5</v>
      </c>
      <c r="F69" s="14">
        <f>IFERROR(VLOOKUP(C69,Recipes!$A$2:$F$208,6,FALSE)*D69,"")</f>
        <v>135</v>
      </c>
      <c r="G69" s="162">
        <f t="shared" si="8"/>
        <v>3.6</v>
      </c>
      <c r="H69" s="16">
        <f t="shared" si="9"/>
        <v>4.5</v>
      </c>
      <c r="I69" s="47"/>
      <c r="J69" s="20"/>
      <c r="K69" s="1"/>
      <c r="L69" s="14"/>
      <c r="M69" s="151" t="str">
        <f>IFERROR(VLOOKUP(K69,Recipes!$A$2:$F$208,5,FALSE)*L69,"")</f>
        <v/>
      </c>
      <c r="N69" s="151" t="str">
        <f>IFERROR(VLOOKUP(K69,Recipes!$A$2:$F$208,6,FALSE)*L69,"")</f>
        <v/>
      </c>
      <c r="O69" s="162" t="str">
        <f t="shared" si="10"/>
        <v/>
      </c>
      <c r="P69" s="16">
        <f t="shared" si="11"/>
        <v>0</v>
      </c>
    </row>
    <row r="70" spans="1:16" x14ac:dyDescent="0.25">
      <c r="A70" s="20"/>
      <c r="B70" s="1" t="s">
        <v>179</v>
      </c>
      <c r="C70" s="1" t="s">
        <v>159</v>
      </c>
      <c r="D70" s="14">
        <v>1</v>
      </c>
      <c r="E70" s="14">
        <f>IFERROR(VLOOKUP(C70,Recipes!$A$2:$F$208,5,FALSE)*D70,"")</f>
        <v>157.4</v>
      </c>
      <c r="F70" s="14">
        <f>IFERROR(VLOOKUP(C70,Recipes!$A$2:$F$208,6,FALSE)*D70,"")</f>
        <v>756.72</v>
      </c>
      <c r="G70" s="162">
        <f t="shared" si="8"/>
        <v>4.8076238881829729</v>
      </c>
      <c r="H70" s="16">
        <f t="shared" si="9"/>
        <v>15</v>
      </c>
      <c r="I70" s="47"/>
      <c r="J70" s="20"/>
      <c r="K70" s="1"/>
      <c r="L70" s="14"/>
      <c r="M70" s="151" t="str">
        <f>IFERROR(VLOOKUP(K70,Recipes!$A$2:$F$208,5,FALSE)*L70,"")</f>
        <v/>
      </c>
      <c r="N70" s="151" t="str">
        <f>IFERROR(VLOOKUP(K70,Recipes!$A$2:$F$208,6,FALSE)*L70,"")</f>
        <v/>
      </c>
      <c r="O70" s="162" t="str">
        <f t="shared" si="10"/>
        <v/>
      </c>
      <c r="P70" s="16">
        <f t="shared" si="11"/>
        <v>0</v>
      </c>
    </row>
    <row r="71" spans="1:16" x14ac:dyDescent="0.25">
      <c r="A71" s="20"/>
      <c r="B71" s="1" t="s">
        <v>178</v>
      </c>
      <c r="C71" s="1" t="s">
        <v>164</v>
      </c>
      <c r="D71" s="14">
        <v>0.91</v>
      </c>
      <c r="E71" s="14">
        <f>IFERROR(VLOOKUP(C71,Recipes!$A$2:$F$208,5,FALSE)*D71,"")</f>
        <v>51.870000000000005</v>
      </c>
      <c r="F71" s="14">
        <f>IFERROR(VLOOKUP(C71,Recipes!$A$2:$F$208,6,FALSE)*D71,"")</f>
        <v>239.33</v>
      </c>
      <c r="G71" s="162">
        <f t="shared" si="8"/>
        <v>4.6140350877192979</v>
      </c>
      <c r="H71" s="16">
        <f t="shared" si="9"/>
        <v>13.65</v>
      </c>
      <c r="I71" s="47"/>
      <c r="J71" s="20"/>
      <c r="K71" s="1"/>
      <c r="L71" s="14"/>
      <c r="M71" s="151" t="str">
        <f>IFERROR(VLOOKUP(K71,Recipes!$A$2:$F$208,5,FALSE)*L71,"")</f>
        <v/>
      </c>
      <c r="N71" s="151" t="str">
        <f>IFERROR(VLOOKUP(K71,Recipes!$A$2:$F$208,6,FALSE)*L71,"")</f>
        <v/>
      </c>
      <c r="O71" s="162" t="str">
        <f t="shared" si="10"/>
        <v/>
      </c>
      <c r="P71" s="16">
        <f t="shared" si="11"/>
        <v>0</v>
      </c>
    </row>
    <row r="72" spans="1:16" x14ac:dyDescent="0.25">
      <c r="A72" s="20"/>
      <c r="B72" s="1" t="s">
        <v>178</v>
      </c>
      <c r="C72" s="1" t="s">
        <v>165</v>
      </c>
      <c r="D72" s="14">
        <v>0.72</v>
      </c>
      <c r="E72" s="14">
        <f>IFERROR(VLOOKUP(C72,Recipes!$A$2:$F$208,5,FALSE)*D72,"")</f>
        <v>30.959999999999997</v>
      </c>
      <c r="F72" s="14">
        <f>IFERROR(VLOOKUP(C72,Recipes!$A$2:$F$208,6,FALSE)*D72,"")</f>
        <v>158.4</v>
      </c>
      <c r="G72" s="162">
        <f t="shared" si="8"/>
        <v>5.1162790697674421</v>
      </c>
      <c r="H72" s="16">
        <f t="shared" si="9"/>
        <v>10.799999999999999</v>
      </c>
      <c r="I72" s="47"/>
      <c r="J72" s="20"/>
      <c r="K72" s="1"/>
      <c r="L72" s="14"/>
      <c r="M72" s="151" t="str">
        <f>IFERROR(VLOOKUP(K72,Recipes!$A$2:$F$208,5,FALSE)*L72,"")</f>
        <v/>
      </c>
      <c r="N72" s="151" t="str">
        <f>IFERROR(VLOOKUP(K72,Recipes!$A$2:$F$208,6,FALSE)*L72,"")</f>
        <v/>
      </c>
      <c r="O72" s="162" t="str">
        <f t="shared" si="10"/>
        <v/>
      </c>
      <c r="P72" s="16">
        <f t="shared" si="11"/>
        <v>0</v>
      </c>
    </row>
    <row r="73" spans="1:16" x14ac:dyDescent="0.25">
      <c r="A73" s="20"/>
      <c r="B73" s="1"/>
      <c r="C73" s="1"/>
      <c r="D73" s="14"/>
      <c r="E73" s="14" t="str">
        <f>IFERROR(VLOOKUP(C73,Recipes!$A$2:$F$208,5,FALSE)*D73,"")</f>
        <v/>
      </c>
      <c r="F73" s="14" t="str">
        <f>IFERROR(VLOOKUP(C73,Recipes!$A$2:$F$208,6,FALSE)*D73,"")</f>
        <v/>
      </c>
      <c r="G73" s="162" t="str">
        <f t="shared" si="8"/>
        <v/>
      </c>
      <c r="H73" s="16">
        <f t="shared" si="9"/>
        <v>0</v>
      </c>
      <c r="I73" s="47"/>
      <c r="J73" s="20"/>
      <c r="K73" s="1"/>
      <c r="L73" s="14"/>
      <c r="M73" s="151" t="str">
        <f>IFERROR(VLOOKUP(K73,Recipes!$A$2:$F$208,5,FALSE)*L73,"")</f>
        <v/>
      </c>
      <c r="N73" s="151" t="str">
        <f>IFERROR(VLOOKUP(K73,Recipes!$A$2:$F$208,6,FALSE)*L73,"")</f>
        <v/>
      </c>
      <c r="O73" s="162" t="str">
        <f t="shared" si="10"/>
        <v/>
      </c>
      <c r="P73" s="16">
        <f t="shared" si="11"/>
        <v>0</v>
      </c>
    </row>
    <row r="74" spans="1:16" x14ac:dyDescent="0.25">
      <c r="A74" s="20"/>
      <c r="B74" s="1"/>
      <c r="C74" s="1"/>
      <c r="D74" s="14"/>
      <c r="E74" s="14" t="str">
        <f>IFERROR(VLOOKUP(C74,Recipes!$A$2:$F$208,5,FALSE)*D74,"")</f>
        <v/>
      </c>
      <c r="F74" s="14" t="str">
        <f>IFERROR(VLOOKUP(C74,Recipes!$A$2:$F$208,6,FALSE)*D74,"")</f>
        <v/>
      </c>
      <c r="G74" s="162" t="str">
        <f t="shared" si="8"/>
        <v/>
      </c>
      <c r="H74" s="16">
        <f t="shared" si="9"/>
        <v>0</v>
      </c>
      <c r="I74" s="47"/>
      <c r="J74" s="20"/>
      <c r="K74" s="1"/>
      <c r="L74" s="14"/>
      <c r="M74" s="151" t="str">
        <f>IFERROR(VLOOKUP(K74,Recipes!$A$2:$F$208,5,FALSE)*L74,"")</f>
        <v/>
      </c>
      <c r="N74" s="151" t="str">
        <f>IFERROR(VLOOKUP(K74,Recipes!$A$2:$F$208,6,FALSE)*L74,"")</f>
        <v/>
      </c>
      <c r="O74" s="162" t="str">
        <f t="shared" si="10"/>
        <v/>
      </c>
      <c r="P74" s="16">
        <f t="shared" si="11"/>
        <v>0</v>
      </c>
    </row>
    <row r="75" spans="1:16" x14ac:dyDescent="0.25">
      <c r="A75" s="20"/>
      <c r="B75" s="1"/>
      <c r="C75" s="1"/>
      <c r="D75" s="14"/>
      <c r="E75" s="14" t="str">
        <f>IFERROR(VLOOKUP(C75,Recipes!$A$2:$F$208,5,FALSE)*D75,"")</f>
        <v/>
      </c>
      <c r="F75" s="14" t="str">
        <f>IFERROR(VLOOKUP(C75,Recipes!$A$2:$F$208,6,FALSE)*D75,"")</f>
        <v/>
      </c>
      <c r="G75" s="162" t="str">
        <f t="shared" si="8"/>
        <v/>
      </c>
      <c r="H75" s="16">
        <f t="shared" si="9"/>
        <v>0</v>
      </c>
      <c r="I75" s="47"/>
      <c r="J75" s="20"/>
      <c r="K75" s="1"/>
      <c r="L75" s="14"/>
      <c r="M75" s="151" t="str">
        <f>IFERROR(VLOOKUP(K75,Recipes!$A$2:$F$208,5,FALSE)*L75,"")</f>
        <v/>
      </c>
      <c r="N75" s="151" t="str">
        <f>IFERROR(VLOOKUP(K75,Recipes!$A$2:$F$208,6,FALSE)*L75,"")</f>
        <v/>
      </c>
      <c r="O75" s="162" t="str">
        <f t="shared" si="10"/>
        <v/>
      </c>
      <c r="P75" s="16">
        <f t="shared" si="11"/>
        <v>0</v>
      </c>
    </row>
    <row r="76" spans="1:16" x14ac:dyDescent="0.25">
      <c r="A76" s="20"/>
      <c r="B76" s="1"/>
      <c r="C76" s="1"/>
      <c r="D76" s="14"/>
      <c r="E76" s="14" t="str">
        <f>IFERROR(VLOOKUP(C76,Recipes!$A$2:$F$208,5,FALSE)*D76,"")</f>
        <v/>
      </c>
      <c r="F76" s="14" t="str">
        <f>IFERROR(VLOOKUP(C76,Recipes!$A$2:$F$208,6,FALSE)*D76,"")</f>
        <v/>
      </c>
      <c r="G76" s="162" t="str">
        <f t="shared" si="8"/>
        <v/>
      </c>
      <c r="H76" s="16">
        <f t="shared" si="9"/>
        <v>0</v>
      </c>
      <c r="I76" s="47"/>
      <c r="J76" s="20"/>
      <c r="K76" s="1"/>
      <c r="L76" s="14"/>
      <c r="M76" s="151" t="str">
        <f>IFERROR(VLOOKUP(K76,Recipes!$A$2:$F$208,5,FALSE)*L76,"")</f>
        <v/>
      </c>
      <c r="N76" s="151" t="str">
        <f>IFERROR(VLOOKUP(K76,Recipes!$A$2:$F$208,6,FALSE)*L76,"")</f>
        <v/>
      </c>
      <c r="O76" s="162" t="str">
        <f t="shared" si="10"/>
        <v/>
      </c>
      <c r="P76" s="16">
        <f t="shared" si="11"/>
        <v>0</v>
      </c>
    </row>
    <row r="77" spans="1:16" x14ac:dyDescent="0.25">
      <c r="A77" s="20"/>
      <c r="B77" s="1"/>
      <c r="C77" s="1"/>
      <c r="D77" s="14"/>
      <c r="E77" s="14" t="str">
        <f>IFERROR(VLOOKUP(C77,Recipes!$A$2:$F$208,5,FALSE)*D77,"")</f>
        <v/>
      </c>
      <c r="F77" s="14" t="str">
        <f>IFERROR(VLOOKUP(C77,Recipes!$A$2:$F$208,6,FALSE)*D77,"")</f>
        <v/>
      </c>
      <c r="G77" s="162" t="str">
        <f t="shared" si="8"/>
        <v/>
      </c>
      <c r="H77" s="16">
        <f t="shared" si="9"/>
        <v>0</v>
      </c>
      <c r="I77" s="47"/>
      <c r="J77" s="20"/>
      <c r="K77" s="1"/>
      <c r="L77" s="14"/>
      <c r="M77" s="151" t="str">
        <f>IFERROR(VLOOKUP(K77,Recipes!$A$2:$F$208,5,FALSE)*L77,"")</f>
        <v/>
      </c>
      <c r="N77" s="151" t="str">
        <f>IFERROR(VLOOKUP(K77,Recipes!$A$2:$F$208,6,FALSE)*L77,"")</f>
        <v/>
      </c>
      <c r="O77" s="162" t="str">
        <f t="shared" si="10"/>
        <v/>
      </c>
      <c r="P77" s="16">
        <f t="shared" si="11"/>
        <v>0</v>
      </c>
    </row>
    <row r="78" spans="1:16" x14ac:dyDescent="0.25">
      <c r="A78" s="20"/>
      <c r="B78" s="1"/>
      <c r="C78" s="1"/>
      <c r="D78" s="14"/>
      <c r="E78" s="14" t="str">
        <f>IFERROR(VLOOKUP(C78,Recipes!$A$2:$F$208,5,FALSE)*D78,"")</f>
        <v/>
      </c>
      <c r="F78" s="14" t="str">
        <f>IFERROR(VLOOKUP(C78,Recipes!$A$2:$F$208,6,FALSE)*D78,"")</f>
        <v/>
      </c>
      <c r="G78" s="162" t="str">
        <f t="shared" si="8"/>
        <v/>
      </c>
      <c r="H78" s="16">
        <f t="shared" si="9"/>
        <v>0</v>
      </c>
      <c r="I78" s="47"/>
      <c r="J78" s="20"/>
      <c r="K78" s="1"/>
      <c r="L78" s="14"/>
      <c r="M78" s="151" t="str">
        <f>IFERROR(VLOOKUP(K78,Recipes!$A$2:$F$208,5,FALSE)*L78,"")</f>
        <v/>
      </c>
      <c r="N78" s="151" t="str">
        <f>IFERROR(VLOOKUP(K78,Recipes!$A$2:$F$208,6,FALSE)*L78,"")</f>
        <v/>
      </c>
      <c r="O78" s="162" t="str">
        <f t="shared" si="10"/>
        <v/>
      </c>
      <c r="P78" s="16">
        <f t="shared" si="11"/>
        <v>0</v>
      </c>
    </row>
    <row r="79" spans="1:16" x14ac:dyDescent="0.25">
      <c r="A79" s="20"/>
      <c r="B79" s="1"/>
      <c r="C79" s="1"/>
      <c r="D79" s="14"/>
      <c r="E79" s="14" t="str">
        <f>IFERROR(VLOOKUP(C79,Recipes!$A$2:$F$208,5,FALSE)*D79,"")</f>
        <v/>
      </c>
      <c r="F79" s="14" t="str">
        <f>IFERROR(VLOOKUP(C79,Recipes!$A$2:$F$208,6,FALSE)*D79,"")</f>
        <v/>
      </c>
      <c r="G79" s="162" t="str">
        <f t="shared" si="8"/>
        <v/>
      </c>
      <c r="H79" s="16">
        <f t="shared" si="9"/>
        <v>0</v>
      </c>
      <c r="I79" s="47"/>
      <c r="J79" s="20"/>
      <c r="K79" s="1"/>
      <c r="L79" s="14"/>
      <c r="M79" s="151" t="str">
        <f>IFERROR(VLOOKUP(K79,Recipes!$A$2:$F$208,5,FALSE)*L79,"")</f>
        <v/>
      </c>
      <c r="N79" s="151" t="str">
        <f>IFERROR(VLOOKUP(K79,Recipes!$A$2:$F$208,6,FALSE)*L79,"")</f>
        <v/>
      </c>
      <c r="O79" s="162" t="str">
        <f t="shared" si="10"/>
        <v/>
      </c>
      <c r="P79" s="16">
        <f t="shared" si="11"/>
        <v>0</v>
      </c>
    </row>
    <row r="80" spans="1:16" x14ac:dyDescent="0.25">
      <c r="A80" s="20"/>
      <c r="B80" s="1"/>
      <c r="C80" s="1"/>
      <c r="D80" s="14"/>
      <c r="E80" s="14" t="str">
        <f>IFERROR(VLOOKUP(C80,Recipes!$A$2:$F$208,5,FALSE)*D80,"")</f>
        <v/>
      </c>
      <c r="F80" s="14" t="str">
        <f>IFERROR(VLOOKUP(C80,Recipes!$A$2:$F$208,6,FALSE)*D80,"")</f>
        <v/>
      </c>
      <c r="G80" s="162" t="str">
        <f t="shared" si="8"/>
        <v/>
      </c>
      <c r="H80" s="16">
        <f t="shared" si="9"/>
        <v>0</v>
      </c>
      <c r="I80" s="47"/>
      <c r="J80" s="20"/>
      <c r="K80" s="1"/>
      <c r="L80" s="14"/>
      <c r="M80" s="151" t="str">
        <f>IFERROR(VLOOKUP(K80,Recipes!$A$2:$F$208,5,FALSE)*L80,"")</f>
        <v/>
      </c>
      <c r="N80" s="151" t="str">
        <f>IFERROR(VLOOKUP(K80,Recipes!$A$2:$F$208,6,FALSE)*L80,"")</f>
        <v/>
      </c>
      <c r="O80" s="162" t="str">
        <f t="shared" si="10"/>
        <v/>
      </c>
      <c r="P80" s="16">
        <f t="shared" si="11"/>
        <v>0</v>
      </c>
    </row>
    <row r="81" spans="1:16" x14ac:dyDescent="0.25">
      <c r="A81" s="20"/>
      <c r="B81" s="1"/>
      <c r="C81" s="1"/>
      <c r="D81" s="14"/>
      <c r="E81" s="14" t="str">
        <f>IFERROR(VLOOKUP(C81,Recipes!$A$2:$F$208,5,FALSE)*D81,"")</f>
        <v/>
      </c>
      <c r="F81" s="14" t="str">
        <f>IFERROR(VLOOKUP(C81,Recipes!$A$2:$F$208,6,FALSE)*D81,"")</f>
        <v/>
      </c>
      <c r="G81" s="162" t="str">
        <f t="shared" si="8"/>
        <v/>
      </c>
      <c r="H81" s="16">
        <f t="shared" si="9"/>
        <v>0</v>
      </c>
      <c r="I81" s="47"/>
      <c r="J81" s="20"/>
      <c r="K81" s="1"/>
      <c r="L81" s="14"/>
      <c r="M81" s="151" t="str">
        <f>IFERROR(VLOOKUP(K81,Recipes!$A$2:$F$208,5,FALSE)*L81,"")</f>
        <v/>
      </c>
      <c r="N81" s="151" t="str">
        <f>IFERROR(VLOOKUP(K81,Recipes!$A$2:$F$208,6,FALSE)*L81,"")</f>
        <v/>
      </c>
      <c r="O81" s="162" t="str">
        <f t="shared" si="10"/>
        <v/>
      </c>
      <c r="P81" s="16">
        <f t="shared" si="11"/>
        <v>0</v>
      </c>
    </row>
    <row r="82" spans="1:16" x14ac:dyDescent="0.25">
      <c r="A82" s="20"/>
      <c r="B82" s="1"/>
      <c r="C82" s="1"/>
      <c r="D82" s="14"/>
      <c r="E82" s="14" t="str">
        <f>IFERROR(VLOOKUP(C82,Recipes!$A$2:$F$208,5,FALSE)*D82,"")</f>
        <v/>
      </c>
      <c r="F82" s="14" t="str">
        <f>IFERROR(VLOOKUP(C82,Recipes!$A$2:$F$208,6,FALSE)*D82,"")</f>
        <v/>
      </c>
      <c r="G82" s="162" t="str">
        <f t="shared" si="8"/>
        <v/>
      </c>
      <c r="H82" s="16">
        <f t="shared" si="9"/>
        <v>0</v>
      </c>
      <c r="I82" s="47"/>
      <c r="J82" s="20"/>
      <c r="K82" s="1"/>
      <c r="L82" s="14"/>
      <c r="M82" s="151" t="str">
        <f>IFERROR(VLOOKUP(K82,Recipes!$A$2:$F$208,5,FALSE)*L82,"")</f>
        <v/>
      </c>
      <c r="N82" s="151" t="str">
        <f>IFERROR(VLOOKUP(K82,Recipes!$A$2:$F$208,6,FALSE)*L82,"")</f>
        <v/>
      </c>
      <c r="O82" s="162" t="str">
        <f t="shared" si="10"/>
        <v/>
      </c>
      <c r="P82" s="16">
        <f t="shared" si="11"/>
        <v>0</v>
      </c>
    </row>
    <row r="83" spans="1:16" x14ac:dyDescent="0.25">
      <c r="A83" s="20"/>
      <c r="B83" s="1"/>
      <c r="C83" s="1"/>
      <c r="D83" s="14"/>
      <c r="E83" s="14" t="str">
        <f>IFERROR(VLOOKUP(C83,Recipes!$A$2:$F$208,5,FALSE)*D83,"")</f>
        <v/>
      </c>
      <c r="F83" s="14" t="str">
        <f>IFERROR(VLOOKUP(C83,Recipes!$A$2:$F$208,6,FALSE)*D83,"")</f>
        <v/>
      </c>
      <c r="G83" s="162" t="str">
        <f t="shared" si="8"/>
        <v/>
      </c>
      <c r="H83" s="16">
        <f t="shared" si="9"/>
        <v>0</v>
      </c>
      <c r="I83" s="47"/>
      <c r="J83" s="20"/>
      <c r="K83" s="1"/>
      <c r="L83" s="14"/>
      <c r="M83" s="151" t="str">
        <f>IFERROR(VLOOKUP(K83,Recipes!$A$2:$F$208,5,FALSE)*L83,"")</f>
        <v/>
      </c>
      <c r="N83" s="151" t="str">
        <f>IFERROR(VLOOKUP(K83,Recipes!$A$2:$F$208,6,FALSE)*L83,"")</f>
        <v/>
      </c>
      <c r="O83" s="162" t="str">
        <f t="shared" si="10"/>
        <v/>
      </c>
      <c r="P83" s="16">
        <f t="shared" si="11"/>
        <v>0</v>
      </c>
    </row>
    <row r="84" spans="1:16" x14ac:dyDescent="0.25">
      <c r="A84" s="20"/>
      <c r="B84" s="1"/>
      <c r="C84" s="1"/>
      <c r="D84" s="14"/>
      <c r="E84" s="14" t="str">
        <f>IFERROR(VLOOKUP(C84,Recipes!$A$2:$F$208,5,FALSE)*D84,"")</f>
        <v/>
      </c>
      <c r="F84" s="14" t="str">
        <f>IFERROR(VLOOKUP(C84,Recipes!$A$2:$F$208,6,FALSE)*D84,"")</f>
        <v/>
      </c>
      <c r="G84" s="162" t="str">
        <f t="shared" si="8"/>
        <v/>
      </c>
      <c r="H84" s="16">
        <f t="shared" si="9"/>
        <v>0</v>
      </c>
      <c r="I84" s="47"/>
      <c r="J84" s="20"/>
      <c r="K84" s="1"/>
      <c r="L84" s="14"/>
      <c r="M84" s="151" t="str">
        <f>IFERROR(VLOOKUP(K84,Recipes!$A$2:$F$208,5,FALSE)*L84,"")</f>
        <v/>
      </c>
      <c r="N84" s="151" t="str">
        <f>IFERROR(VLOOKUP(K84,Recipes!$A$2:$F$208,6,FALSE)*L84,"")</f>
        <v/>
      </c>
      <c r="O84" s="162" t="str">
        <f t="shared" si="10"/>
        <v/>
      </c>
      <c r="P84" s="16">
        <f t="shared" si="11"/>
        <v>0</v>
      </c>
    </row>
    <row r="85" spans="1:16" x14ac:dyDescent="0.25">
      <c r="A85" s="20"/>
      <c r="B85" s="1"/>
      <c r="C85" s="1"/>
      <c r="D85" s="14"/>
      <c r="E85" s="14" t="str">
        <f>IFERROR(VLOOKUP(C85,Recipes!$A$2:$F$208,5,FALSE)*D85,"")</f>
        <v/>
      </c>
      <c r="F85" s="14" t="str">
        <f>IFERROR(VLOOKUP(C85,Recipes!$A$2:$F$208,6,FALSE)*D85,"")</f>
        <v/>
      </c>
      <c r="G85" s="162" t="str">
        <f t="shared" si="8"/>
        <v/>
      </c>
      <c r="H85" s="16">
        <f t="shared" si="9"/>
        <v>0</v>
      </c>
      <c r="I85" s="47"/>
      <c r="J85" s="20"/>
      <c r="K85" s="1"/>
      <c r="L85" s="14"/>
      <c r="M85" s="151" t="str">
        <f>IFERROR(VLOOKUP(K85,Recipes!$A$2:$F$208,5,FALSE)*L85,"")</f>
        <v/>
      </c>
      <c r="N85" s="151" t="str">
        <f>IFERROR(VLOOKUP(K85,Recipes!$A$2:$F$208,6,FALSE)*L85,"")</f>
        <v/>
      </c>
      <c r="O85" s="162" t="str">
        <f t="shared" si="10"/>
        <v/>
      </c>
      <c r="P85" s="16">
        <f t="shared" si="11"/>
        <v>0</v>
      </c>
    </row>
    <row r="86" spans="1:16" ht="15.75" thickBot="1" x14ac:dyDescent="0.3">
      <c r="A86" s="21"/>
      <c r="B86" s="8"/>
      <c r="C86" s="8"/>
      <c r="D86" s="15"/>
      <c r="E86" s="15" t="str">
        <f>IFERROR(VLOOKUP(C86,Recipes!$A$2:$F$208,5,FALSE)*D86,"")</f>
        <v/>
      </c>
      <c r="F86" s="15" t="str">
        <f>IFERROR(VLOOKUP(C86,Recipes!$A$2:$F$208,6,FALSE)*D86,"")</f>
        <v/>
      </c>
      <c r="G86" s="163" t="str">
        <f t="shared" si="8"/>
        <v/>
      </c>
      <c r="H86" s="17">
        <f t="shared" si="9"/>
        <v>0</v>
      </c>
      <c r="I86" s="47"/>
      <c r="J86" s="21"/>
      <c r="K86" s="8"/>
      <c r="L86" s="15"/>
      <c r="M86" s="152" t="str">
        <f>IFERROR(VLOOKUP(K86,Recipes!$A$2:$F$208,5,FALSE)*L86,"")</f>
        <v/>
      </c>
      <c r="N86" s="152" t="str">
        <f>IFERROR(VLOOKUP(K86,Recipes!$A$2:$F$208,6,FALSE)*L86,"")</f>
        <v/>
      </c>
      <c r="O86" s="163" t="str">
        <f t="shared" si="10"/>
        <v/>
      </c>
      <c r="P86" s="17">
        <f t="shared" si="11"/>
        <v>0</v>
      </c>
    </row>
    <row r="87" spans="1:16" x14ac:dyDescent="0.25">
      <c r="A87" s="149" t="s">
        <v>182</v>
      </c>
      <c r="B87" s="135"/>
      <c r="C87" s="135"/>
      <c r="D87" s="135"/>
      <c r="E87" s="145">
        <f>SUM(E88:E114)</f>
        <v>0</v>
      </c>
      <c r="F87" s="145">
        <f>SUM(F88:F114)</f>
        <v>0</v>
      </c>
      <c r="G87" s="164" t="str">
        <f>IFERROR(F87/E87,"")</f>
        <v/>
      </c>
      <c r="H87" s="146">
        <f>COUNTIF(Meal_Itinerary!C:C,Meals!A87)</f>
        <v>0</v>
      </c>
      <c r="I87" s="109"/>
      <c r="J87" s="138"/>
      <c r="K87" s="135"/>
      <c r="L87" s="135"/>
      <c r="M87" s="148">
        <f>SUM(M88:M114)</f>
        <v>915.7714285714286</v>
      </c>
      <c r="N87" s="148">
        <f>SUM(N88:N114)</f>
        <v>3606.9571428571426</v>
      </c>
      <c r="O87" s="160">
        <f>IFERROR(N87/M87,"")</f>
        <v>3.9387089729190063</v>
      </c>
      <c r="P87" s="147">
        <f>COUNTIF(Meal_Itinerary!E:E,Meals!A87)</f>
        <v>9</v>
      </c>
    </row>
    <row r="88" spans="1:16" x14ac:dyDescent="0.25">
      <c r="A88" s="23"/>
      <c r="B88" s="10"/>
      <c r="C88" s="10"/>
      <c r="D88" s="112"/>
      <c r="E88" s="112" t="str">
        <f>IFERROR(VLOOKUP(C88,Recipes!$A$2:$F$208,5,FALSE)*D88,"")</f>
        <v/>
      </c>
      <c r="F88" s="112" t="str">
        <f>IFERROR(VLOOKUP(C88,Recipes!$A$2:$F$208,6,FALSE)*D88,"")</f>
        <v/>
      </c>
      <c r="G88" s="161" t="str">
        <f>IFERROR(F88/E88,"")</f>
        <v/>
      </c>
      <c r="H88" s="136">
        <f>$H$87*D88</f>
        <v>0</v>
      </c>
      <c r="I88" s="47"/>
      <c r="J88" s="23" t="s">
        <v>176</v>
      </c>
      <c r="K88" s="10" t="s">
        <v>146</v>
      </c>
      <c r="L88" s="112">
        <v>1</v>
      </c>
      <c r="M88" s="150">
        <f>IFERROR(VLOOKUP(K88,Recipes!$A$2:$F$208,5,FALSE)*L88,"")</f>
        <v>111.6</v>
      </c>
      <c r="N88" s="150">
        <f>IFERROR(VLOOKUP(K88,Recipes!$A$2:$F$208,6,FALSE)*L88,"")</f>
        <v>460</v>
      </c>
      <c r="O88" s="161">
        <f>IFERROR(N88/M88,"")</f>
        <v>4.1218637992831546</v>
      </c>
      <c r="P88" s="136">
        <f>$P$87*L88</f>
        <v>9</v>
      </c>
    </row>
    <row r="89" spans="1:16" x14ac:dyDescent="0.25">
      <c r="A89" s="20"/>
      <c r="B89" s="1"/>
      <c r="C89" s="1"/>
      <c r="D89" s="14"/>
      <c r="E89" s="14" t="str">
        <f>IFERROR(VLOOKUP(C89,Recipes!$A$2:$F$208,5,FALSE)*D89,"")</f>
        <v/>
      </c>
      <c r="F89" s="14" t="str">
        <f>IFERROR(VLOOKUP(C89,Recipes!$A$2:$F$208,6,FALSE)*D89,"")</f>
        <v/>
      </c>
      <c r="G89" s="162" t="str">
        <f t="shared" ref="G89:G114" si="12">IFERROR(F89/E89,"")</f>
        <v/>
      </c>
      <c r="H89" s="16">
        <f t="shared" ref="H89:H114" si="13">$H$87*D89</f>
        <v>0</v>
      </c>
      <c r="I89" s="47"/>
      <c r="J89" s="20" t="s">
        <v>178</v>
      </c>
      <c r="K89" s="1" t="s">
        <v>149</v>
      </c>
      <c r="L89" s="14">
        <v>1</v>
      </c>
      <c r="M89" s="151">
        <f>IFERROR(VLOOKUP(K89,Recipes!$A$2:$F$208,5,FALSE)*L89,"")</f>
        <v>184</v>
      </c>
      <c r="N89" s="151">
        <f>IFERROR(VLOOKUP(K89,Recipes!$A$2:$F$208,6,FALSE)*L89,"")</f>
        <v>950</v>
      </c>
      <c r="O89" s="162">
        <f t="shared" ref="O89:O114" si="14">IFERROR(N89/M89,"")</f>
        <v>5.1630434782608692</v>
      </c>
      <c r="P89" s="16">
        <f t="shared" ref="P89:P114" si="15">$P$87*L89</f>
        <v>9</v>
      </c>
    </row>
    <row r="90" spans="1:16" x14ac:dyDescent="0.25">
      <c r="A90" s="20"/>
      <c r="B90" s="1"/>
      <c r="C90" s="1"/>
      <c r="D90" s="14"/>
      <c r="E90" s="14" t="str">
        <f>IFERROR(VLOOKUP(C90,Recipes!$A$2:$F$208,5,FALSE)*D90,"")</f>
        <v/>
      </c>
      <c r="F90" s="14" t="str">
        <f>IFERROR(VLOOKUP(C90,Recipes!$A$2:$F$208,6,FALSE)*D90,"")</f>
        <v/>
      </c>
      <c r="G90" s="162" t="str">
        <f t="shared" si="12"/>
        <v/>
      </c>
      <c r="H90" s="16">
        <f t="shared" si="13"/>
        <v>0</v>
      </c>
      <c r="I90" s="47"/>
      <c r="J90" s="20" t="s">
        <v>177</v>
      </c>
      <c r="K90" s="1" t="s">
        <v>143</v>
      </c>
      <c r="L90" s="14">
        <v>0.5</v>
      </c>
      <c r="M90" s="151">
        <f>IFERROR(VLOOKUP(K90,Recipes!$A$2:$F$208,5,FALSE)*L90,"")</f>
        <v>100</v>
      </c>
      <c r="N90" s="151">
        <f>IFERROR(VLOOKUP(K90,Recipes!$A$2:$F$208,6,FALSE)*L90,"")</f>
        <v>426</v>
      </c>
      <c r="O90" s="162">
        <f t="shared" si="14"/>
        <v>4.26</v>
      </c>
      <c r="P90" s="16">
        <f t="shared" si="15"/>
        <v>4.5</v>
      </c>
    </row>
    <row r="91" spans="1:16" x14ac:dyDescent="0.25">
      <c r="A91" s="20"/>
      <c r="B91" s="1"/>
      <c r="C91" s="1"/>
      <c r="D91" s="14"/>
      <c r="E91" s="14" t="str">
        <f>IFERROR(VLOOKUP(C91,Recipes!$A$2:$F$208,5,FALSE)*D91,"")</f>
        <v/>
      </c>
      <c r="F91" s="14" t="str">
        <f>IFERROR(VLOOKUP(C91,Recipes!$A$2:$F$208,6,FALSE)*D91,"")</f>
        <v/>
      </c>
      <c r="G91" s="162" t="str">
        <f t="shared" si="12"/>
        <v/>
      </c>
      <c r="H91" s="16">
        <f t="shared" si="13"/>
        <v>0</v>
      </c>
      <c r="I91" s="47"/>
      <c r="J91" s="20" t="s">
        <v>177</v>
      </c>
      <c r="K91" s="1" t="s">
        <v>109</v>
      </c>
      <c r="L91" s="14">
        <v>1</v>
      </c>
      <c r="M91" s="151">
        <f>IFERROR(VLOOKUP(K91,Recipes!$A$2:$F$208,5,FALSE)*L91,"")</f>
        <v>150</v>
      </c>
      <c r="N91" s="151">
        <f>IFERROR(VLOOKUP(K91,Recipes!$A$2:$F$208,6,FALSE)*L91,"")</f>
        <v>100</v>
      </c>
      <c r="O91" s="162">
        <f t="shared" si="14"/>
        <v>0.66666666666666663</v>
      </c>
      <c r="P91" s="16">
        <f t="shared" si="15"/>
        <v>9</v>
      </c>
    </row>
    <row r="92" spans="1:16" x14ac:dyDescent="0.25">
      <c r="A92" s="20"/>
      <c r="B92" s="1"/>
      <c r="C92" s="1"/>
      <c r="D92" s="14"/>
      <c r="E92" s="14" t="str">
        <f>IFERROR(VLOOKUP(C92,Recipes!$A$2:$F$208,5,FALSE)*D92,"")</f>
        <v/>
      </c>
      <c r="F92" s="14" t="str">
        <f>IFERROR(VLOOKUP(C92,Recipes!$A$2:$F$208,6,FALSE)*D92,"")</f>
        <v/>
      </c>
      <c r="G92" s="162" t="str">
        <f t="shared" si="12"/>
        <v/>
      </c>
      <c r="H92" s="16">
        <f t="shared" si="13"/>
        <v>0</v>
      </c>
      <c r="I92" s="47"/>
      <c r="J92" s="20" t="s">
        <v>177</v>
      </c>
      <c r="K92" s="1" t="s">
        <v>162</v>
      </c>
      <c r="L92" s="14">
        <v>2</v>
      </c>
      <c r="M92" s="151">
        <f>IFERROR(VLOOKUP(K92,Recipes!$A$2:$F$208,5,FALSE)*L92,"")</f>
        <v>100</v>
      </c>
      <c r="N92" s="151">
        <f>IFERROR(VLOOKUP(K92,Recipes!$A$2:$F$208,6,FALSE)*L92,"")</f>
        <v>560</v>
      </c>
      <c r="O92" s="162">
        <f t="shared" si="14"/>
        <v>5.6</v>
      </c>
      <c r="P92" s="16">
        <f t="shared" si="15"/>
        <v>18</v>
      </c>
    </row>
    <row r="93" spans="1:16" x14ac:dyDescent="0.25">
      <c r="A93" s="20"/>
      <c r="B93" s="1"/>
      <c r="C93" s="1"/>
      <c r="D93" s="14"/>
      <c r="E93" s="14" t="str">
        <f>IFERROR(VLOOKUP(C93,Recipes!$A$2:$F$208,5,FALSE)*D93,"")</f>
        <v/>
      </c>
      <c r="F93" s="14" t="str">
        <f>IFERROR(VLOOKUP(C93,Recipes!$A$2:$F$208,6,FALSE)*D93,"")</f>
        <v/>
      </c>
      <c r="G93" s="162" t="str">
        <f t="shared" si="12"/>
        <v/>
      </c>
      <c r="H93" s="16">
        <f t="shared" si="13"/>
        <v>0</v>
      </c>
      <c r="I93" s="47"/>
      <c r="J93" s="20" t="s">
        <v>178</v>
      </c>
      <c r="K93" s="1" t="s">
        <v>158</v>
      </c>
      <c r="L93" s="14">
        <v>1</v>
      </c>
      <c r="M93" s="151">
        <f>IFERROR(VLOOKUP(K93,Recipes!$A$2:$F$208,5,FALSE)*L93,"")</f>
        <v>98.571428571428569</v>
      </c>
      <c r="N93" s="151">
        <f>IFERROR(VLOOKUP(K93,Recipes!$A$2:$F$208,6,FALSE)*L93,"")</f>
        <v>342.85714285714283</v>
      </c>
      <c r="O93" s="162">
        <f t="shared" si="14"/>
        <v>3.4782608695652173</v>
      </c>
      <c r="P93" s="16">
        <f t="shared" si="15"/>
        <v>9</v>
      </c>
    </row>
    <row r="94" spans="1:16" x14ac:dyDescent="0.25">
      <c r="A94" s="20"/>
      <c r="B94" s="1"/>
      <c r="C94" s="1"/>
      <c r="D94" s="14"/>
      <c r="E94" s="14" t="str">
        <f>IFERROR(VLOOKUP(C94,Recipes!$A$2:$F$208,5,FALSE)*D94,"")</f>
        <v/>
      </c>
      <c r="F94" s="14" t="str">
        <f>IFERROR(VLOOKUP(C94,Recipes!$A$2:$F$208,6,FALSE)*D94,"")</f>
        <v/>
      </c>
      <c r="G94" s="162" t="str">
        <f t="shared" si="12"/>
        <v/>
      </c>
      <c r="H94" s="16">
        <f t="shared" si="13"/>
        <v>0</v>
      </c>
      <c r="I94" s="47"/>
      <c r="J94" s="20" t="s">
        <v>179</v>
      </c>
      <c r="K94" s="1" t="s">
        <v>157</v>
      </c>
      <c r="L94" s="14">
        <v>1</v>
      </c>
      <c r="M94" s="151">
        <f>IFERROR(VLOOKUP(K94,Recipes!$A$2:$F$208,5,FALSE)*L94,"")</f>
        <v>171.6</v>
      </c>
      <c r="N94" s="151">
        <f>IFERROR(VLOOKUP(K94,Recipes!$A$2:$F$208,6,FALSE)*L94,"")</f>
        <v>768.09999999999991</v>
      </c>
      <c r="O94" s="162">
        <f t="shared" si="14"/>
        <v>4.4761072261072261</v>
      </c>
      <c r="P94" s="16">
        <f t="shared" si="15"/>
        <v>9</v>
      </c>
    </row>
    <row r="95" spans="1:16" x14ac:dyDescent="0.25">
      <c r="A95" s="20"/>
      <c r="B95" s="1"/>
      <c r="C95" s="1"/>
      <c r="D95" s="14"/>
      <c r="E95" s="14" t="str">
        <f>IFERROR(VLOOKUP(C95,Recipes!$A$2:$F$208,5,FALSE)*D95,"")</f>
        <v/>
      </c>
      <c r="F95" s="14" t="str">
        <f>IFERROR(VLOOKUP(C95,Recipes!$A$2:$F$208,6,FALSE)*D95,"")</f>
        <v/>
      </c>
      <c r="G95" s="162" t="str">
        <f t="shared" si="12"/>
        <v/>
      </c>
      <c r="H95" s="16">
        <f t="shared" si="13"/>
        <v>0</v>
      </c>
      <c r="I95" s="47"/>
      <c r="J95" s="20"/>
      <c r="K95" s="1"/>
      <c r="L95" s="14"/>
      <c r="M95" s="151" t="str">
        <f>IFERROR(VLOOKUP(K95,Recipes!$A$2:$F$208,5,FALSE)*L95,"")</f>
        <v/>
      </c>
      <c r="N95" s="151" t="str">
        <f>IFERROR(VLOOKUP(K95,Recipes!$A$2:$F$208,6,FALSE)*L95,"")</f>
        <v/>
      </c>
      <c r="O95" s="162" t="str">
        <f t="shared" si="14"/>
        <v/>
      </c>
      <c r="P95" s="16">
        <f t="shared" si="15"/>
        <v>0</v>
      </c>
    </row>
    <row r="96" spans="1:16" x14ac:dyDescent="0.25">
      <c r="A96" s="20"/>
      <c r="B96" s="1"/>
      <c r="C96" s="1"/>
      <c r="D96" s="14"/>
      <c r="E96" s="14" t="str">
        <f>IFERROR(VLOOKUP(C96,Recipes!$A$2:$F$208,5,FALSE)*D96,"")</f>
        <v/>
      </c>
      <c r="F96" s="14" t="str">
        <f>IFERROR(VLOOKUP(C96,Recipes!$A$2:$F$208,6,FALSE)*D96,"")</f>
        <v/>
      </c>
      <c r="G96" s="162" t="str">
        <f t="shared" si="12"/>
        <v/>
      </c>
      <c r="H96" s="16">
        <f t="shared" si="13"/>
        <v>0</v>
      </c>
      <c r="I96" s="47"/>
      <c r="J96" s="20"/>
      <c r="K96" s="1"/>
      <c r="L96" s="14"/>
      <c r="M96" s="151" t="str">
        <f>IFERROR(VLOOKUP(K96,Recipes!$A$2:$F$208,5,FALSE)*L96,"")</f>
        <v/>
      </c>
      <c r="N96" s="151" t="str">
        <f>IFERROR(VLOOKUP(K96,Recipes!$A$2:$F$208,6,FALSE)*L96,"")</f>
        <v/>
      </c>
      <c r="O96" s="162" t="str">
        <f t="shared" si="14"/>
        <v/>
      </c>
      <c r="P96" s="16">
        <f t="shared" si="15"/>
        <v>0</v>
      </c>
    </row>
    <row r="97" spans="1:16" x14ac:dyDescent="0.25">
      <c r="A97" s="20"/>
      <c r="B97" s="1"/>
      <c r="C97" s="1"/>
      <c r="D97" s="14"/>
      <c r="E97" s="14" t="str">
        <f>IFERROR(VLOOKUP(C97,Recipes!$A$2:$F$208,5,FALSE)*D97,"")</f>
        <v/>
      </c>
      <c r="F97" s="14" t="str">
        <f>IFERROR(VLOOKUP(C97,Recipes!$A$2:$F$208,6,FALSE)*D97,"")</f>
        <v/>
      </c>
      <c r="G97" s="162" t="str">
        <f t="shared" si="12"/>
        <v/>
      </c>
      <c r="H97" s="16">
        <f t="shared" si="13"/>
        <v>0</v>
      </c>
      <c r="I97" s="47"/>
      <c r="J97" s="20"/>
      <c r="K97" s="1"/>
      <c r="L97" s="14"/>
      <c r="M97" s="151" t="str">
        <f>IFERROR(VLOOKUP(K97,Recipes!$A$2:$F$208,5,FALSE)*L97,"")</f>
        <v/>
      </c>
      <c r="N97" s="151" t="str">
        <f>IFERROR(VLOOKUP(K97,Recipes!$A$2:$F$208,6,FALSE)*L97,"")</f>
        <v/>
      </c>
      <c r="O97" s="162" t="str">
        <f t="shared" si="14"/>
        <v/>
      </c>
      <c r="P97" s="16">
        <f t="shared" si="15"/>
        <v>0</v>
      </c>
    </row>
    <row r="98" spans="1:16" x14ac:dyDescent="0.25">
      <c r="A98" s="20"/>
      <c r="B98" s="1"/>
      <c r="C98" s="1"/>
      <c r="D98" s="14"/>
      <c r="E98" s="14" t="str">
        <f>IFERROR(VLOOKUP(C98,Recipes!$A$2:$F$208,5,FALSE)*D98,"")</f>
        <v/>
      </c>
      <c r="F98" s="14" t="str">
        <f>IFERROR(VLOOKUP(C98,Recipes!$A$2:$F$208,6,FALSE)*D98,"")</f>
        <v/>
      </c>
      <c r="G98" s="162" t="str">
        <f t="shared" si="12"/>
        <v/>
      </c>
      <c r="H98" s="16">
        <f t="shared" si="13"/>
        <v>0</v>
      </c>
      <c r="I98" s="47"/>
      <c r="J98" s="20"/>
      <c r="K98" s="1"/>
      <c r="L98" s="14"/>
      <c r="M98" s="151" t="str">
        <f>IFERROR(VLOOKUP(K98,Recipes!$A$2:$F$208,5,FALSE)*L98,"")</f>
        <v/>
      </c>
      <c r="N98" s="151" t="str">
        <f>IFERROR(VLOOKUP(K98,Recipes!$A$2:$F$208,6,FALSE)*L98,"")</f>
        <v/>
      </c>
      <c r="O98" s="162" t="str">
        <f t="shared" si="14"/>
        <v/>
      </c>
      <c r="P98" s="16">
        <f t="shared" si="15"/>
        <v>0</v>
      </c>
    </row>
    <row r="99" spans="1:16" x14ac:dyDescent="0.25">
      <c r="A99" s="20"/>
      <c r="B99" s="1"/>
      <c r="C99" s="1"/>
      <c r="D99" s="14"/>
      <c r="E99" s="14" t="str">
        <f>IFERROR(VLOOKUP(C99,Recipes!$A$2:$F$208,5,FALSE)*D99,"")</f>
        <v/>
      </c>
      <c r="F99" s="14" t="str">
        <f>IFERROR(VLOOKUP(C99,Recipes!$A$2:$F$208,6,FALSE)*D99,"")</f>
        <v/>
      </c>
      <c r="G99" s="162" t="str">
        <f t="shared" si="12"/>
        <v/>
      </c>
      <c r="H99" s="16">
        <f t="shared" si="13"/>
        <v>0</v>
      </c>
      <c r="I99" s="47"/>
      <c r="J99" s="20"/>
      <c r="K99" s="1"/>
      <c r="L99" s="14"/>
      <c r="M99" s="151" t="str">
        <f>IFERROR(VLOOKUP(K99,Recipes!$A$2:$F$208,5,FALSE)*L99,"")</f>
        <v/>
      </c>
      <c r="N99" s="151" t="str">
        <f>IFERROR(VLOOKUP(K99,Recipes!$A$2:$F$208,6,FALSE)*L99,"")</f>
        <v/>
      </c>
      <c r="O99" s="162" t="str">
        <f t="shared" si="14"/>
        <v/>
      </c>
      <c r="P99" s="16">
        <f t="shared" si="15"/>
        <v>0</v>
      </c>
    </row>
    <row r="100" spans="1:16" x14ac:dyDescent="0.25">
      <c r="A100" s="20"/>
      <c r="B100" s="1"/>
      <c r="C100" s="1"/>
      <c r="D100" s="14"/>
      <c r="E100" s="14" t="str">
        <f>IFERROR(VLOOKUP(C100,Recipes!$A$2:$F$208,5,FALSE)*D100,"")</f>
        <v/>
      </c>
      <c r="F100" s="14" t="str">
        <f>IFERROR(VLOOKUP(C100,Recipes!$A$2:$F$208,6,FALSE)*D100,"")</f>
        <v/>
      </c>
      <c r="G100" s="162" t="str">
        <f t="shared" si="12"/>
        <v/>
      </c>
      <c r="H100" s="16">
        <f t="shared" si="13"/>
        <v>0</v>
      </c>
      <c r="I100" s="47"/>
      <c r="J100" s="20"/>
      <c r="K100" s="1"/>
      <c r="L100" s="14"/>
      <c r="M100" s="151" t="str">
        <f>IFERROR(VLOOKUP(K100,Recipes!$A$2:$F$208,5,FALSE)*L100,"")</f>
        <v/>
      </c>
      <c r="N100" s="151" t="str">
        <f>IFERROR(VLOOKUP(K100,Recipes!$A$2:$F$208,6,FALSE)*L100,"")</f>
        <v/>
      </c>
      <c r="O100" s="162" t="str">
        <f t="shared" si="14"/>
        <v/>
      </c>
      <c r="P100" s="16">
        <f t="shared" si="15"/>
        <v>0</v>
      </c>
    </row>
    <row r="101" spans="1:16" x14ac:dyDescent="0.25">
      <c r="A101" s="20"/>
      <c r="B101" s="1"/>
      <c r="C101" s="1"/>
      <c r="D101" s="14"/>
      <c r="E101" s="14" t="str">
        <f>IFERROR(VLOOKUP(C101,Recipes!$A$2:$F$208,5,FALSE)*D101,"")</f>
        <v/>
      </c>
      <c r="F101" s="14" t="str">
        <f>IFERROR(VLOOKUP(C101,Recipes!$A$2:$F$208,6,FALSE)*D101,"")</f>
        <v/>
      </c>
      <c r="G101" s="162" t="str">
        <f t="shared" si="12"/>
        <v/>
      </c>
      <c r="H101" s="16">
        <f t="shared" si="13"/>
        <v>0</v>
      </c>
      <c r="I101" s="47"/>
      <c r="J101" s="20"/>
      <c r="K101" s="1"/>
      <c r="L101" s="14"/>
      <c r="M101" s="151" t="str">
        <f>IFERROR(VLOOKUP(K101,Recipes!$A$2:$F$208,5,FALSE)*L101,"")</f>
        <v/>
      </c>
      <c r="N101" s="151" t="str">
        <f>IFERROR(VLOOKUP(K101,Recipes!$A$2:$F$208,6,FALSE)*L101,"")</f>
        <v/>
      </c>
      <c r="O101" s="162" t="str">
        <f t="shared" si="14"/>
        <v/>
      </c>
      <c r="P101" s="16">
        <f t="shared" si="15"/>
        <v>0</v>
      </c>
    </row>
    <row r="102" spans="1:16" x14ac:dyDescent="0.25">
      <c r="A102" s="20"/>
      <c r="B102" s="1"/>
      <c r="C102" s="1"/>
      <c r="D102" s="14"/>
      <c r="E102" s="14" t="str">
        <f>IFERROR(VLOOKUP(C102,Recipes!$A$2:$F$208,5,FALSE)*D102,"")</f>
        <v/>
      </c>
      <c r="F102" s="14" t="str">
        <f>IFERROR(VLOOKUP(C102,Recipes!$A$2:$F$208,6,FALSE)*D102,"")</f>
        <v/>
      </c>
      <c r="G102" s="162" t="str">
        <f t="shared" si="12"/>
        <v/>
      </c>
      <c r="H102" s="16">
        <f t="shared" si="13"/>
        <v>0</v>
      </c>
      <c r="I102" s="47"/>
      <c r="J102" s="20"/>
      <c r="K102" s="1"/>
      <c r="L102" s="14"/>
      <c r="M102" s="151" t="str">
        <f>IFERROR(VLOOKUP(K102,Recipes!$A$2:$F$208,5,FALSE)*L102,"")</f>
        <v/>
      </c>
      <c r="N102" s="151" t="str">
        <f>IFERROR(VLOOKUP(K102,Recipes!$A$2:$F$208,6,FALSE)*L102,"")</f>
        <v/>
      </c>
      <c r="O102" s="162" t="str">
        <f t="shared" si="14"/>
        <v/>
      </c>
      <c r="P102" s="16">
        <f t="shared" si="15"/>
        <v>0</v>
      </c>
    </row>
    <row r="103" spans="1:16" x14ac:dyDescent="0.25">
      <c r="A103" s="20"/>
      <c r="B103" s="1"/>
      <c r="C103" s="1"/>
      <c r="D103" s="14"/>
      <c r="E103" s="14" t="str">
        <f>IFERROR(VLOOKUP(C103,Recipes!$A$2:$F$208,5,FALSE)*D103,"")</f>
        <v/>
      </c>
      <c r="F103" s="14" t="str">
        <f>IFERROR(VLOOKUP(C103,Recipes!$A$2:$F$208,6,FALSE)*D103,"")</f>
        <v/>
      </c>
      <c r="G103" s="162" t="str">
        <f t="shared" si="12"/>
        <v/>
      </c>
      <c r="H103" s="16">
        <f t="shared" si="13"/>
        <v>0</v>
      </c>
      <c r="I103" s="47"/>
      <c r="J103" s="20"/>
      <c r="K103" s="1"/>
      <c r="L103" s="14"/>
      <c r="M103" s="151" t="str">
        <f>IFERROR(VLOOKUP(K103,Recipes!$A$2:$F$208,5,FALSE)*L103,"")</f>
        <v/>
      </c>
      <c r="N103" s="151" t="str">
        <f>IFERROR(VLOOKUP(K103,Recipes!$A$2:$F$208,6,FALSE)*L103,"")</f>
        <v/>
      </c>
      <c r="O103" s="162" t="str">
        <f t="shared" si="14"/>
        <v/>
      </c>
      <c r="P103" s="16">
        <f t="shared" si="15"/>
        <v>0</v>
      </c>
    </row>
    <row r="104" spans="1:16" x14ac:dyDescent="0.25">
      <c r="A104" s="20"/>
      <c r="B104" s="1"/>
      <c r="C104" s="1"/>
      <c r="D104" s="14"/>
      <c r="E104" s="14" t="str">
        <f>IFERROR(VLOOKUP(C104,Recipes!$A$2:$F$208,5,FALSE)*D104,"")</f>
        <v/>
      </c>
      <c r="F104" s="14" t="str">
        <f>IFERROR(VLOOKUP(C104,Recipes!$A$2:$F$208,6,FALSE)*D104,"")</f>
        <v/>
      </c>
      <c r="G104" s="162" t="str">
        <f t="shared" si="12"/>
        <v/>
      </c>
      <c r="H104" s="16">
        <f t="shared" si="13"/>
        <v>0</v>
      </c>
      <c r="I104" s="47"/>
      <c r="J104" s="20"/>
      <c r="K104" s="1"/>
      <c r="L104" s="14"/>
      <c r="M104" s="151" t="str">
        <f>IFERROR(VLOOKUP(K104,Recipes!$A$2:$F$208,5,FALSE)*L104,"")</f>
        <v/>
      </c>
      <c r="N104" s="151" t="str">
        <f>IFERROR(VLOOKUP(K104,Recipes!$A$2:$F$208,6,FALSE)*L104,"")</f>
        <v/>
      </c>
      <c r="O104" s="162" t="str">
        <f t="shared" si="14"/>
        <v/>
      </c>
      <c r="P104" s="16">
        <f t="shared" si="15"/>
        <v>0</v>
      </c>
    </row>
    <row r="105" spans="1:16" x14ac:dyDescent="0.25">
      <c r="A105" s="20"/>
      <c r="B105" s="1"/>
      <c r="C105" s="1"/>
      <c r="D105" s="14"/>
      <c r="E105" s="14" t="str">
        <f>IFERROR(VLOOKUP(C105,Recipes!$A$2:$F$208,5,FALSE)*D105,"")</f>
        <v/>
      </c>
      <c r="F105" s="14" t="str">
        <f>IFERROR(VLOOKUP(C105,Recipes!$A$2:$F$208,6,FALSE)*D105,"")</f>
        <v/>
      </c>
      <c r="G105" s="162" t="str">
        <f t="shared" si="12"/>
        <v/>
      </c>
      <c r="H105" s="16">
        <f t="shared" si="13"/>
        <v>0</v>
      </c>
      <c r="I105" s="47"/>
      <c r="J105" s="20"/>
      <c r="K105" s="1"/>
      <c r="L105" s="14"/>
      <c r="M105" s="151" t="str">
        <f>IFERROR(VLOOKUP(K105,Recipes!$A$2:$F$208,5,FALSE)*L105,"")</f>
        <v/>
      </c>
      <c r="N105" s="151" t="str">
        <f>IFERROR(VLOOKUP(K105,Recipes!$A$2:$F$208,6,FALSE)*L105,"")</f>
        <v/>
      </c>
      <c r="O105" s="162" t="str">
        <f t="shared" si="14"/>
        <v/>
      </c>
      <c r="P105" s="16">
        <f t="shared" si="15"/>
        <v>0</v>
      </c>
    </row>
    <row r="106" spans="1:16" x14ac:dyDescent="0.25">
      <c r="A106" s="20"/>
      <c r="B106" s="1"/>
      <c r="C106" s="1"/>
      <c r="D106" s="14"/>
      <c r="E106" s="14" t="str">
        <f>IFERROR(VLOOKUP(C106,Recipes!$A$2:$F$208,5,FALSE)*D106,"")</f>
        <v/>
      </c>
      <c r="F106" s="14" t="str">
        <f>IFERROR(VLOOKUP(C106,Recipes!$A$2:$F$208,6,FALSE)*D106,"")</f>
        <v/>
      </c>
      <c r="G106" s="162" t="str">
        <f t="shared" si="12"/>
        <v/>
      </c>
      <c r="H106" s="16">
        <f t="shared" si="13"/>
        <v>0</v>
      </c>
      <c r="I106" s="47"/>
      <c r="J106" s="20"/>
      <c r="K106" s="1"/>
      <c r="L106" s="14"/>
      <c r="M106" s="151" t="str">
        <f>IFERROR(VLOOKUP(K106,Recipes!$A$2:$F$208,5,FALSE)*L106,"")</f>
        <v/>
      </c>
      <c r="N106" s="151" t="str">
        <f>IFERROR(VLOOKUP(K106,Recipes!$A$2:$F$208,6,FALSE)*L106,"")</f>
        <v/>
      </c>
      <c r="O106" s="162" t="str">
        <f t="shared" si="14"/>
        <v/>
      </c>
      <c r="P106" s="16">
        <f t="shared" si="15"/>
        <v>0</v>
      </c>
    </row>
    <row r="107" spans="1:16" x14ac:dyDescent="0.25">
      <c r="A107" s="20"/>
      <c r="B107" s="1"/>
      <c r="C107" s="1"/>
      <c r="D107" s="14"/>
      <c r="E107" s="14" t="str">
        <f>IFERROR(VLOOKUP(C107,Recipes!$A$2:$F$208,5,FALSE)*D107,"")</f>
        <v/>
      </c>
      <c r="F107" s="14" t="str">
        <f>IFERROR(VLOOKUP(C107,Recipes!$A$2:$F$208,6,FALSE)*D107,"")</f>
        <v/>
      </c>
      <c r="G107" s="162" t="str">
        <f t="shared" si="12"/>
        <v/>
      </c>
      <c r="H107" s="16">
        <f t="shared" si="13"/>
        <v>0</v>
      </c>
      <c r="I107" s="47"/>
      <c r="J107" s="20"/>
      <c r="K107" s="1"/>
      <c r="L107" s="14"/>
      <c r="M107" s="151" t="str">
        <f>IFERROR(VLOOKUP(K107,Recipes!$A$2:$F$208,5,FALSE)*L107,"")</f>
        <v/>
      </c>
      <c r="N107" s="151" t="str">
        <f>IFERROR(VLOOKUP(K107,Recipes!$A$2:$F$208,6,FALSE)*L107,"")</f>
        <v/>
      </c>
      <c r="O107" s="162" t="str">
        <f t="shared" si="14"/>
        <v/>
      </c>
      <c r="P107" s="16">
        <f t="shared" si="15"/>
        <v>0</v>
      </c>
    </row>
    <row r="108" spans="1:16" x14ac:dyDescent="0.25">
      <c r="A108" s="20"/>
      <c r="B108" s="1"/>
      <c r="C108" s="1"/>
      <c r="D108" s="14"/>
      <c r="E108" s="14" t="str">
        <f>IFERROR(VLOOKUP(C108,Recipes!$A$2:$F$208,5,FALSE)*D108,"")</f>
        <v/>
      </c>
      <c r="F108" s="14" t="str">
        <f>IFERROR(VLOOKUP(C108,Recipes!$A$2:$F$208,6,FALSE)*D108,"")</f>
        <v/>
      </c>
      <c r="G108" s="162" t="str">
        <f t="shared" si="12"/>
        <v/>
      </c>
      <c r="H108" s="16">
        <f t="shared" si="13"/>
        <v>0</v>
      </c>
      <c r="I108" s="47"/>
      <c r="J108" s="20"/>
      <c r="K108" s="1"/>
      <c r="L108" s="14"/>
      <c r="M108" s="151" t="str">
        <f>IFERROR(VLOOKUP(K108,Recipes!$A$2:$F$208,5,FALSE)*L108,"")</f>
        <v/>
      </c>
      <c r="N108" s="151" t="str">
        <f>IFERROR(VLOOKUP(K108,Recipes!$A$2:$F$208,6,FALSE)*L108,"")</f>
        <v/>
      </c>
      <c r="O108" s="162" t="str">
        <f t="shared" si="14"/>
        <v/>
      </c>
      <c r="P108" s="16">
        <f t="shared" si="15"/>
        <v>0</v>
      </c>
    </row>
    <row r="109" spans="1:16" x14ac:dyDescent="0.25">
      <c r="A109" s="20"/>
      <c r="B109" s="1"/>
      <c r="C109" s="1"/>
      <c r="D109" s="14"/>
      <c r="E109" s="14" t="str">
        <f>IFERROR(VLOOKUP(C109,Recipes!$A$2:$F$208,5,FALSE)*D109,"")</f>
        <v/>
      </c>
      <c r="F109" s="14" t="str">
        <f>IFERROR(VLOOKUP(C109,Recipes!$A$2:$F$208,6,FALSE)*D109,"")</f>
        <v/>
      </c>
      <c r="G109" s="162" t="str">
        <f t="shared" si="12"/>
        <v/>
      </c>
      <c r="H109" s="16">
        <f t="shared" si="13"/>
        <v>0</v>
      </c>
      <c r="I109" s="47"/>
      <c r="J109" s="20"/>
      <c r="K109" s="1"/>
      <c r="L109" s="14"/>
      <c r="M109" s="151" t="str">
        <f>IFERROR(VLOOKUP(K109,Recipes!$A$2:$F$208,5,FALSE)*L109,"")</f>
        <v/>
      </c>
      <c r="N109" s="151" t="str">
        <f>IFERROR(VLOOKUP(K109,Recipes!$A$2:$F$208,6,FALSE)*L109,"")</f>
        <v/>
      </c>
      <c r="O109" s="162" t="str">
        <f t="shared" si="14"/>
        <v/>
      </c>
      <c r="P109" s="16">
        <f t="shared" si="15"/>
        <v>0</v>
      </c>
    </row>
    <row r="110" spans="1:16" x14ac:dyDescent="0.25">
      <c r="A110" s="20"/>
      <c r="B110" s="1"/>
      <c r="C110" s="1"/>
      <c r="D110" s="14"/>
      <c r="E110" s="14" t="str">
        <f>IFERROR(VLOOKUP(C110,Recipes!$A$2:$F$208,5,FALSE)*D110,"")</f>
        <v/>
      </c>
      <c r="F110" s="14" t="str">
        <f>IFERROR(VLOOKUP(C110,Recipes!$A$2:$F$208,6,FALSE)*D110,"")</f>
        <v/>
      </c>
      <c r="G110" s="162" t="str">
        <f t="shared" si="12"/>
        <v/>
      </c>
      <c r="H110" s="16">
        <f t="shared" si="13"/>
        <v>0</v>
      </c>
      <c r="I110" s="47"/>
      <c r="J110" s="20"/>
      <c r="K110" s="1"/>
      <c r="L110" s="14"/>
      <c r="M110" s="151" t="str">
        <f>IFERROR(VLOOKUP(K110,Recipes!$A$2:$F$208,5,FALSE)*L110,"")</f>
        <v/>
      </c>
      <c r="N110" s="151" t="str">
        <f>IFERROR(VLOOKUP(K110,Recipes!$A$2:$F$208,6,FALSE)*L110,"")</f>
        <v/>
      </c>
      <c r="O110" s="162" t="str">
        <f t="shared" si="14"/>
        <v/>
      </c>
      <c r="P110" s="16">
        <f t="shared" si="15"/>
        <v>0</v>
      </c>
    </row>
    <row r="111" spans="1:16" x14ac:dyDescent="0.25">
      <c r="A111" s="20"/>
      <c r="B111" s="1"/>
      <c r="C111" s="1"/>
      <c r="D111" s="14"/>
      <c r="E111" s="14" t="str">
        <f>IFERROR(VLOOKUP(C111,Recipes!$A$2:$F$208,5,FALSE)*D111,"")</f>
        <v/>
      </c>
      <c r="F111" s="14" t="str">
        <f>IFERROR(VLOOKUP(C111,Recipes!$A$2:$F$208,6,FALSE)*D111,"")</f>
        <v/>
      </c>
      <c r="G111" s="162" t="str">
        <f t="shared" si="12"/>
        <v/>
      </c>
      <c r="H111" s="16">
        <f t="shared" si="13"/>
        <v>0</v>
      </c>
      <c r="I111" s="47"/>
      <c r="J111" s="20"/>
      <c r="K111" s="1"/>
      <c r="L111" s="14"/>
      <c r="M111" s="151" t="str">
        <f>IFERROR(VLOOKUP(K111,Recipes!$A$2:$F$208,5,FALSE)*L111,"")</f>
        <v/>
      </c>
      <c r="N111" s="151" t="str">
        <f>IFERROR(VLOOKUP(K111,Recipes!$A$2:$F$208,6,FALSE)*L111,"")</f>
        <v/>
      </c>
      <c r="O111" s="162" t="str">
        <f t="shared" si="14"/>
        <v/>
      </c>
      <c r="P111" s="16">
        <f t="shared" si="15"/>
        <v>0</v>
      </c>
    </row>
    <row r="112" spans="1:16" x14ac:dyDescent="0.25">
      <c r="A112" s="20"/>
      <c r="B112" s="1"/>
      <c r="C112" s="1"/>
      <c r="D112" s="14"/>
      <c r="E112" s="14" t="str">
        <f>IFERROR(VLOOKUP(C112,Recipes!$A$2:$F$208,5,FALSE)*D112,"")</f>
        <v/>
      </c>
      <c r="F112" s="14" t="str">
        <f>IFERROR(VLOOKUP(C112,Recipes!$A$2:$F$208,6,FALSE)*D112,"")</f>
        <v/>
      </c>
      <c r="G112" s="162" t="str">
        <f t="shared" si="12"/>
        <v/>
      </c>
      <c r="H112" s="16">
        <f t="shared" si="13"/>
        <v>0</v>
      </c>
      <c r="I112" s="47"/>
      <c r="J112" s="20"/>
      <c r="K112" s="1"/>
      <c r="L112" s="14"/>
      <c r="M112" s="151" t="str">
        <f>IFERROR(VLOOKUP(K112,Recipes!$A$2:$F$208,5,FALSE)*L112,"")</f>
        <v/>
      </c>
      <c r="N112" s="151" t="str">
        <f>IFERROR(VLOOKUP(K112,Recipes!$A$2:$F$208,6,FALSE)*L112,"")</f>
        <v/>
      </c>
      <c r="O112" s="162" t="str">
        <f t="shared" si="14"/>
        <v/>
      </c>
      <c r="P112" s="16">
        <f t="shared" si="15"/>
        <v>0</v>
      </c>
    </row>
    <row r="113" spans="1:16" x14ac:dyDescent="0.25">
      <c r="A113" s="20"/>
      <c r="B113" s="1"/>
      <c r="C113" s="1"/>
      <c r="D113" s="14"/>
      <c r="E113" s="14" t="str">
        <f>IFERROR(VLOOKUP(C113,Recipes!$A$2:$F$208,5,FALSE)*D113,"")</f>
        <v/>
      </c>
      <c r="F113" s="14" t="str">
        <f>IFERROR(VLOOKUP(C113,Recipes!$A$2:$F$208,6,FALSE)*D113,"")</f>
        <v/>
      </c>
      <c r="G113" s="162" t="str">
        <f t="shared" si="12"/>
        <v/>
      </c>
      <c r="H113" s="16">
        <f t="shared" si="13"/>
        <v>0</v>
      </c>
      <c r="I113" s="47"/>
      <c r="J113" s="20"/>
      <c r="K113" s="1"/>
      <c r="L113" s="14"/>
      <c r="M113" s="151" t="str">
        <f>IFERROR(VLOOKUP(K113,Recipes!$A$2:$F$208,5,FALSE)*L113,"")</f>
        <v/>
      </c>
      <c r="N113" s="151" t="str">
        <f>IFERROR(VLOOKUP(K113,Recipes!$A$2:$F$208,6,FALSE)*L113,"")</f>
        <v/>
      </c>
      <c r="O113" s="162" t="str">
        <f t="shared" si="14"/>
        <v/>
      </c>
      <c r="P113" s="16">
        <f t="shared" si="15"/>
        <v>0</v>
      </c>
    </row>
    <row r="114" spans="1:16" x14ac:dyDescent="0.25">
      <c r="A114" s="21"/>
      <c r="B114" s="8"/>
      <c r="C114" s="8"/>
      <c r="D114" s="15"/>
      <c r="E114" s="15" t="str">
        <f>IFERROR(VLOOKUP(C114,Recipes!$A$2:$F$208,5,FALSE)*D114,"")</f>
        <v/>
      </c>
      <c r="F114" s="15" t="str">
        <f>IFERROR(VLOOKUP(C114,Recipes!$A$2:$F$208,6,FALSE)*D114,"")</f>
        <v/>
      </c>
      <c r="G114" s="163" t="str">
        <f t="shared" si="12"/>
        <v/>
      </c>
      <c r="H114" s="17">
        <f t="shared" si="13"/>
        <v>0</v>
      </c>
      <c r="I114" s="47"/>
      <c r="J114" s="21"/>
      <c r="K114" s="8"/>
      <c r="L114" s="15"/>
      <c r="M114" s="152" t="str">
        <f>IFERROR(VLOOKUP(K114,Recipes!$A$2:$F$208,5,FALSE)*L114,"")</f>
        <v/>
      </c>
      <c r="N114" s="152" t="str">
        <f>IFERROR(VLOOKUP(K114,Recipes!$A$2:$F$208,6,FALSE)*L114,"")</f>
        <v/>
      </c>
      <c r="O114" s="163" t="str">
        <f t="shared" si="14"/>
        <v/>
      </c>
      <c r="P114" s="17">
        <f t="shared" si="15"/>
        <v>0</v>
      </c>
    </row>
    <row r="115" spans="1:16" x14ac:dyDescent="0.25">
      <c r="A115" s="134" t="s">
        <v>183</v>
      </c>
      <c r="B115" s="135"/>
      <c r="C115" s="135"/>
      <c r="D115" s="135"/>
      <c r="E115" s="145">
        <f>SUM(E116:E142)</f>
        <v>0</v>
      </c>
      <c r="F115" s="145">
        <f>SUM(F116:F142)</f>
        <v>0</v>
      </c>
      <c r="G115" s="164" t="str">
        <f>IFERROR(F115/E115,"")</f>
        <v/>
      </c>
      <c r="H115" s="146">
        <f>COUNTIF(Meal_Itinerary!C:C,Meals!A115)</f>
        <v>0</v>
      </c>
      <c r="I115" s="109"/>
      <c r="J115" s="138"/>
      <c r="K115" s="135"/>
      <c r="L115" s="135"/>
      <c r="M115" s="148">
        <f>SUM(M116:M142)</f>
        <v>964.67142857142858</v>
      </c>
      <c r="N115" s="148">
        <f>SUM(N116:N142)</f>
        <v>3520.8571428571427</v>
      </c>
      <c r="O115" s="160">
        <f>IFERROR(N115/M115,"")</f>
        <v>3.6497993395234496</v>
      </c>
      <c r="P115" s="147">
        <f>COUNTIF(Meal_Itinerary!E:E,Meals!A115)</f>
        <v>9</v>
      </c>
    </row>
    <row r="116" spans="1:16" x14ac:dyDescent="0.25">
      <c r="A116" s="23"/>
      <c r="B116" s="10"/>
      <c r="C116" s="10"/>
      <c r="D116" s="112"/>
      <c r="E116" s="112" t="str">
        <f>IFERROR(VLOOKUP(C116,Recipes!$A$2:$F$208,5,FALSE)*D116,"")</f>
        <v/>
      </c>
      <c r="F116" s="112" t="str">
        <f>IFERROR(VLOOKUP(C116,Recipes!$A$2:$F$208,6,FALSE)*D116,"")</f>
        <v/>
      </c>
      <c r="G116" s="161" t="str">
        <f>IFERROR(F116/E116,"")</f>
        <v/>
      </c>
      <c r="H116" s="136">
        <f>$H$87*D116</f>
        <v>0</v>
      </c>
      <c r="I116" s="47"/>
      <c r="J116" s="23" t="s">
        <v>176</v>
      </c>
      <c r="K116" s="10" t="s">
        <v>146</v>
      </c>
      <c r="L116" s="112">
        <v>1</v>
      </c>
      <c r="M116" s="150">
        <f>IFERROR(VLOOKUP(K116,Recipes!$A$2:$F$208,5,FALSE)*L116,"")</f>
        <v>111.6</v>
      </c>
      <c r="N116" s="150">
        <f>IFERROR(VLOOKUP(K116,Recipes!$A$2:$F$208,6,FALSE)*L116,"")</f>
        <v>460</v>
      </c>
      <c r="O116" s="161">
        <f>IFERROR(N116/M116,"")</f>
        <v>4.1218637992831546</v>
      </c>
      <c r="P116" s="136">
        <f>$P$87*L116</f>
        <v>9</v>
      </c>
    </row>
    <row r="117" spans="1:16" x14ac:dyDescent="0.25">
      <c r="A117" s="20"/>
      <c r="B117" s="1"/>
      <c r="C117" s="1"/>
      <c r="D117" s="14"/>
      <c r="E117" s="14" t="str">
        <f>IFERROR(VLOOKUP(C117,Recipes!$A$2:$F$208,5,FALSE)*D117,"")</f>
        <v/>
      </c>
      <c r="F117" s="14" t="str">
        <f>IFERROR(VLOOKUP(C117,Recipes!$A$2:$F$208,6,FALSE)*D117,"")</f>
        <v/>
      </c>
      <c r="G117" s="162" t="str">
        <f t="shared" ref="G117:G142" si="16">IFERROR(F117/E117,"")</f>
        <v/>
      </c>
      <c r="H117" s="16">
        <f t="shared" ref="H117:H142" si="17">$H$87*D117</f>
        <v>0</v>
      </c>
      <c r="I117" s="47"/>
      <c r="J117" s="20" t="s">
        <v>178</v>
      </c>
      <c r="K117" s="1" t="s">
        <v>149</v>
      </c>
      <c r="L117" s="14">
        <v>1</v>
      </c>
      <c r="M117" s="151">
        <f>IFERROR(VLOOKUP(K117,Recipes!$A$2:$F$208,5,FALSE)*L117,"")</f>
        <v>184</v>
      </c>
      <c r="N117" s="151">
        <f>IFERROR(VLOOKUP(K117,Recipes!$A$2:$F$208,6,FALSE)*L117,"")</f>
        <v>950</v>
      </c>
      <c r="O117" s="162">
        <f t="shared" ref="O117:O142" si="18">IFERROR(N117/M117,"")</f>
        <v>5.1630434782608692</v>
      </c>
      <c r="P117" s="16">
        <f t="shared" ref="P117:P142" si="19">$P$87*L117</f>
        <v>9</v>
      </c>
    </row>
    <row r="118" spans="1:16" x14ac:dyDescent="0.25">
      <c r="A118" s="20"/>
      <c r="B118" s="1"/>
      <c r="C118" s="1"/>
      <c r="D118" s="14"/>
      <c r="E118" s="14" t="str">
        <f>IFERROR(VLOOKUP(C118,Recipes!$A$2:$F$208,5,FALSE)*D118,"")</f>
        <v/>
      </c>
      <c r="F118" s="14" t="str">
        <f>IFERROR(VLOOKUP(C118,Recipes!$A$2:$F$208,6,FALSE)*D118,"")</f>
        <v/>
      </c>
      <c r="G118" s="162" t="str">
        <f t="shared" si="16"/>
        <v/>
      </c>
      <c r="H118" s="16">
        <f t="shared" si="17"/>
        <v>0</v>
      </c>
      <c r="I118" s="47"/>
      <c r="J118" s="20" t="s">
        <v>177</v>
      </c>
      <c r="K118" s="1" t="s">
        <v>109</v>
      </c>
      <c r="L118" s="14">
        <v>1</v>
      </c>
      <c r="M118" s="151">
        <f>IFERROR(VLOOKUP(K118,Recipes!$A$2:$F$208,5,FALSE)*L118,"")</f>
        <v>150</v>
      </c>
      <c r="N118" s="151">
        <f>IFERROR(VLOOKUP(K118,Recipes!$A$2:$F$208,6,FALSE)*L118,"")</f>
        <v>100</v>
      </c>
      <c r="O118" s="162">
        <f t="shared" si="18"/>
        <v>0.66666666666666663</v>
      </c>
      <c r="P118" s="16">
        <f t="shared" si="19"/>
        <v>9</v>
      </c>
    </row>
    <row r="119" spans="1:16" x14ac:dyDescent="0.25">
      <c r="A119" s="20"/>
      <c r="B119" s="1"/>
      <c r="C119" s="1"/>
      <c r="D119" s="14"/>
      <c r="E119" s="14" t="str">
        <f>IFERROR(VLOOKUP(C119,Recipes!$A$2:$F$208,5,FALSE)*D119,"")</f>
        <v/>
      </c>
      <c r="F119" s="14" t="str">
        <f>IFERROR(VLOOKUP(C119,Recipes!$A$2:$F$208,6,FALSE)*D119,"")</f>
        <v/>
      </c>
      <c r="G119" s="162" t="str">
        <f t="shared" si="16"/>
        <v/>
      </c>
      <c r="H119" s="16">
        <f t="shared" si="17"/>
        <v>0</v>
      </c>
      <c r="I119" s="47"/>
      <c r="J119" s="20" t="s">
        <v>177</v>
      </c>
      <c r="K119" s="1" t="s">
        <v>161</v>
      </c>
      <c r="L119" s="14">
        <v>5</v>
      </c>
      <c r="M119" s="151">
        <f>IFERROR(VLOOKUP(K119,Recipes!$A$2:$F$208,5,FALSE)*L119,"")</f>
        <v>75</v>
      </c>
      <c r="N119" s="151">
        <f>IFERROR(VLOOKUP(K119,Recipes!$A$2:$F$208,6,FALSE)*L119,"")</f>
        <v>450</v>
      </c>
      <c r="O119" s="162">
        <f t="shared" si="18"/>
        <v>6</v>
      </c>
      <c r="P119" s="16">
        <f t="shared" si="19"/>
        <v>45</v>
      </c>
    </row>
    <row r="120" spans="1:16" x14ac:dyDescent="0.25">
      <c r="A120" s="20"/>
      <c r="B120" s="1"/>
      <c r="C120" s="1"/>
      <c r="D120" s="14"/>
      <c r="E120" s="14" t="str">
        <f>IFERROR(VLOOKUP(C120,Recipes!$A$2:$F$208,5,FALSE)*D120,"")</f>
        <v/>
      </c>
      <c r="F120" s="14" t="str">
        <f>IFERROR(VLOOKUP(C120,Recipes!$A$2:$F$208,6,FALSE)*D120,"")</f>
        <v/>
      </c>
      <c r="G120" s="162" t="str">
        <f t="shared" si="16"/>
        <v/>
      </c>
      <c r="H120" s="16">
        <f t="shared" si="17"/>
        <v>0</v>
      </c>
      <c r="I120" s="47"/>
      <c r="J120" s="20" t="s">
        <v>179</v>
      </c>
      <c r="K120" s="1" t="s">
        <v>155</v>
      </c>
      <c r="L120" s="14">
        <v>1</v>
      </c>
      <c r="M120" s="151">
        <f>IFERROR(VLOOKUP(K120,Recipes!$A$2:$F$208,5,FALSE)*L120,"")</f>
        <v>183</v>
      </c>
      <c r="N120" s="151">
        <f>IFERROR(VLOOKUP(K120,Recipes!$A$2:$F$208,6,FALSE)*L120,"")</f>
        <v>783</v>
      </c>
      <c r="O120" s="162">
        <f t="shared" si="18"/>
        <v>4.278688524590164</v>
      </c>
      <c r="P120" s="16">
        <f t="shared" si="19"/>
        <v>9</v>
      </c>
    </row>
    <row r="121" spans="1:16" x14ac:dyDescent="0.25">
      <c r="A121" s="20"/>
      <c r="B121" s="1"/>
      <c r="C121" s="1"/>
      <c r="D121" s="14"/>
      <c r="E121" s="14" t="str">
        <f>IFERROR(VLOOKUP(C121,Recipes!$A$2:$F$208,5,FALSE)*D121,"")</f>
        <v/>
      </c>
      <c r="F121" s="14" t="str">
        <f>IFERROR(VLOOKUP(C121,Recipes!$A$2:$F$208,6,FALSE)*D121,"")</f>
        <v/>
      </c>
      <c r="G121" s="162" t="str">
        <f t="shared" si="16"/>
        <v/>
      </c>
      <c r="H121" s="16">
        <f t="shared" si="17"/>
        <v>0</v>
      </c>
      <c r="I121" s="47"/>
      <c r="J121" s="20" t="s">
        <v>178</v>
      </c>
      <c r="K121" s="1" t="s">
        <v>158</v>
      </c>
      <c r="L121" s="14">
        <v>1</v>
      </c>
      <c r="M121" s="151">
        <f>IFERROR(VLOOKUP(K121,Recipes!$A$2:$F$208,5,FALSE)*L121,"")</f>
        <v>98.571428571428569</v>
      </c>
      <c r="N121" s="151">
        <f>IFERROR(VLOOKUP(K121,Recipes!$A$2:$F$208,6,FALSE)*L121,"")</f>
        <v>342.85714285714283</v>
      </c>
      <c r="O121" s="162">
        <f t="shared" si="18"/>
        <v>3.4782608695652173</v>
      </c>
      <c r="P121" s="16">
        <f t="shared" si="19"/>
        <v>9</v>
      </c>
    </row>
    <row r="122" spans="1:16" x14ac:dyDescent="0.25">
      <c r="A122" s="20"/>
      <c r="B122" s="1"/>
      <c r="C122" s="1"/>
      <c r="D122" s="14"/>
      <c r="E122" s="14" t="str">
        <f>IFERROR(VLOOKUP(C122,Recipes!$A$2:$F$208,5,FALSE)*D122,"")</f>
        <v/>
      </c>
      <c r="F122" s="14" t="str">
        <f>IFERROR(VLOOKUP(C122,Recipes!$A$2:$F$208,6,FALSE)*D122,"")</f>
        <v/>
      </c>
      <c r="G122" s="162" t="str">
        <f t="shared" si="16"/>
        <v/>
      </c>
      <c r="H122" s="16">
        <f t="shared" si="17"/>
        <v>0</v>
      </c>
      <c r="I122" s="47"/>
      <c r="J122" s="20" t="s">
        <v>178</v>
      </c>
      <c r="K122" s="1" t="s">
        <v>144</v>
      </c>
      <c r="L122" s="14">
        <v>0.5</v>
      </c>
      <c r="M122" s="151">
        <f>IFERROR(VLOOKUP(K122,Recipes!$A$2:$F$208,5,FALSE)*L122,"")</f>
        <v>62.5</v>
      </c>
      <c r="N122" s="151">
        <f>IFERROR(VLOOKUP(K122,Recipes!$A$2:$F$208,6,FALSE)*L122,"")</f>
        <v>185</v>
      </c>
      <c r="O122" s="162">
        <f t="shared" si="18"/>
        <v>2.96</v>
      </c>
      <c r="P122" s="16">
        <f t="shared" si="19"/>
        <v>4.5</v>
      </c>
    </row>
    <row r="123" spans="1:16" x14ac:dyDescent="0.25">
      <c r="A123" s="20"/>
      <c r="B123" s="1"/>
      <c r="C123" s="1"/>
      <c r="D123" s="14"/>
      <c r="E123" s="14" t="str">
        <f>IFERROR(VLOOKUP(C123,Recipes!$A$2:$F$208,5,FALSE)*D123,"")</f>
        <v/>
      </c>
      <c r="F123" s="14" t="str">
        <f>IFERROR(VLOOKUP(C123,Recipes!$A$2:$F$208,6,FALSE)*D123,"")</f>
        <v/>
      </c>
      <c r="G123" s="162" t="str">
        <f t="shared" si="16"/>
        <v/>
      </c>
      <c r="H123" s="16">
        <f t="shared" si="17"/>
        <v>0</v>
      </c>
      <c r="I123" s="47"/>
      <c r="J123" s="20" t="s">
        <v>178</v>
      </c>
      <c r="K123" s="1" t="s">
        <v>150</v>
      </c>
      <c r="L123" s="14">
        <v>1</v>
      </c>
      <c r="M123" s="151">
        <f>IFERROR(VLOOKUP(K123,Recipes!$A$2:$F$208,5,FALSE)*L123,"")</f>
        <v>100</v>
      </c>
      <c r="N123" s="151">
        <f>IFERROR(VLOOKUP(K123,Recipes!$A$2:$F$208,6,FALSE)*L123,"")</f>
        <v>250</v>
      </c>
      <c r="O123" s="162">
        <f t="shared" si="18"/>
        <v>2.5</v>
      </c>
      <c r="P123" s="16">
        <f t="shared" si="19"/>
        <v>9</v>
      </c>
    </row>
    <row r="124" spans="1:16" x14ac:dyDescent="0.25">
      <c r="A124" s="20"/>
      <c r="B124" s="1"/>
      <c r="C124" s="1"/>
      <c r="D124" s="14"/>
      <c r="E124" s="14" t="str">
        <f>IFERROR(VLOOKUP(C124,Recipes!$A$2:$F$208,5,FALSE)*D124,"")</f>
        <v/>
      </c>
      <c r="F124" s="14" t="str">
        <f>IFERROR(VLOOKUP(C124,Recipes!$A$2:$F$208,6,FALSE)*D124,"")</f>
        <v/>
      </c>
      <c r="G124" s="162" t="str">
        <f t="shared" si="16"/>
        <v/>
      </c>
      <c r="H124" s="16">
        <f t="shared" si="17"/>
        <v>0</v>
      </c>
      <c r="I124" s="47"/>
      <c r="J124" s="20"/>
      <c r="K124" s="1"/>
      <c r="L124" s="14"/>
      <c r="M124" s="151" t="str">
        <f>IFERROR(VLOOKUP(K124,Recipes!$A$2:$F$208,5,FALSE)*L124,"")</f>
        <v/>
      </c>
      <c r="N124" s="151" t="str">
        <f>IFERROR(VLOOKUP(K124,Recipes!$A$2:$F$208,6,FALSE)*L124,"")</f>
        <v/>
      </c>
      <c r="O124" s="162" t="str">
        <f t="shared" si="18"/>
        <v/>
      </c>
      <c r="P124" s="16">
        <f t="shared" si="19"/>
        <v>0</v>
      </c>
    </row>
    <row r="125" spans="1:16" x14ac:dyDescent="0.25">
      <c r="A125" s="20"/>
      <c r="B125" s="1"/>
      <c r="C125" s="1"/>
      <c r="D125" s="14"/>
      <c r="E125" s="14" t="str">
        <f>IFERROR(VLOOKUP(C125,Recipes!$A$2:$F$208,5,FALSE)*D125,"")</f>
        <v/>
      </c>
      <c r="F125" s="14" t="str">
        <f>IFERROR(VLOOKUP(C125,Recipes!$A$2:$F$208,6,FALSE)*D125,"")</f>
        <v/>
      </c>
      <c r="G125" s="162" t="str">
        <f t="shared" si="16"/>
        <v/>
      </c>
      <c r="H125" s="16">
        <f t="shared" si="17"/>
        <v>0</v>
      </c>
      <c r="I125" s="47"/>
      <c r="J125" s="20"/>
      <c r="K125" s="1"/>
      <c r="L125" s="14"/>
      <c r="M125" s="151" t="str">
        <f>IFERROR(VLOOKUP(K125,Recipes!$A$2:$F$208,5,FALSE)*L125,"")</f>
        <v/>
      </c>
      <c r="N125" s="151" t="str">
        <f>IFERROR(VLOOKUP(K125,Recipes!$A$2:$F$208,6,FALSE)*L125,"")</f>
        <v/>
      </c>
      <c r="O125" s="162" t="str">
        <f t="shared" si="18"/>
        <v/>
      </c>
      <c r="P125" s="16">
        <f t="shared" si="19"/>
        <v>0</v>
      </c>
    </row>
    <row r="126" spans="1:16" x14ac:dyDescent="0.25">
      <c r="A126" s="20"/>
      <c r="B126" s="1"/>
      <c r="C126" s="1"/>
      <c r="D126" s="14"/>
      <c r="E126" s="14" t="str">
        <f>IFERROR(VLOOKUP(C126,Recipes!$A$2:$F$208,5,FALSE)*D126,"")</f>
        <v/>
      </c>
      <c r="F126" s="14" t="str">
        <f>IFERROR(VLOOKUP(C126,Recipes!$A$2:$F$208,6,FALSE)*D126,"")</f>
        <v/>
      </c>
      <c r="G126" s="162" t="str">
        <f t="shared" si="16"/>
        <v/>
      </c>
      <c r="H126" s="16">
        <f t="shared" si="17"/>
        <v>0</v>
      </c>
      <c r="I126" s="47"/>
      <c r="J126" s="20"/>
      <c r="K126" s="1"/>
      <c r="L126" s="14"/>
      <c r="M126" s="151" t="str">
        <f>IFERROR(VLOOKUP(K126,Recipes!$A$2:$F$208,5,FALSE)*L126,"")</f>
        <v/>
      </c>
      <c r="N126" s="151" t="str">
        <f>IFERROR(VLOOKUP(K126,Recipes!$A$2:$F$208,6,FALSE)*L126,"")</f>
        <v/>
      </c>
      <c r="O126" s="162" t="str">
        <f t="shared" si="18"/>
        <v/>
      </c>
      <c r="P126" s="16">
        <f t="shared" si="19"/>
        <v>0</v>
      </c>
    </row>
    <row r="127" spans="1:16" x14ac:dyDescent="0.25">
      <c r="A127" s="20"/>
      <c r="B127" s="1"/>
      <c r="C127" s="1"/>
      <c r="D127" s="14"/>
      <c r="E127" s="14" t="str">
        <f>IFERROR(VLOOKUP(C127,Recipes!$A$2:$F$208,5,FALSE)*D127,"")</f>
        <v/>
      </c>
      <c r="F127" s="14" t="str">
        <f>IFERROR(VLOOKUP(C127,Recipes!$A$2:$F$208,6,FALSE)*D127,"")</f>
        <v/>
      </c>
      <c r="G127" s="162" t="str">
        <f t="shared" si="16"/>
        <v/>
      </c>
      <c r="H127" s="16">
        <f t="shared" si="17"/>
        <v>0</v>
      </c>
      <c r="I127" s="47"/>
      <c r="J127" s="20"/>
      <c r="K127" s="1"/>
      <c r="L127" s="14"/>
      <c r="M127" s="151" t="str">
        <f>IFERROR(VLOOKUP(K127,Recipes!$A$2:$F$208,5,FALSE)*L127,"")</f>
        <v/>
      </c>
      <c r="N127" s="151" t="str">
        <f>IFERROR(VLOOKUP(K127,Recipes!$A$2:$F$208,6,FALSE)*L127,"")</f>
        <v/>
      </c>
      <c r="O127" s="162" t="str">
        <f t="shared" si="18"/>
        <v/>
      </c>
      <c r="P127" s="16">
        <f t="shared" si="19"/>
        <v>0</v>
      </c>
    </row>
    <row r="128" spans="1:16" x14ac:dyDescent="0.25">
      <c r="A128" s="20"/>
      <c r="B128" s="1"/>
      <c r="C128" s="1"/>
      <c r="D128" s="14"/>
      <c r="E128" s="14" t="str">
        <f>IFERROR(VLOOKUP(C128,Recipes!$A$2:$F$208,5,FALSE)*D128,"")</f>
        <v/>
      </c>
      <c r="F128" s="14" t="str">
        <f>IFERROR(VLOOKUP(C128,Recipes!$A$2:$F$208,6,FALSE)*D128,"")</f>
        <v/>
      </c>
      <c r="G128" s="162" t="str">
        <f t="shared" si="16"/>
        <v/>
      </c>
      <c r="H128" s="16">
        <f t="shared" si="17"/>
        <v>0</v>
      </c>
      <c r="I128" s="47"/>
      <c r="J128" s="20"/>
      <c r="K128" s="1"/>
      <c r="L128" s="14"/>
      <c r="M128" s="151" t="str">
        <f>IFERROR(VLOOKUP(K128,Recipes!$A$2:$F$208,5,FALSE)*L128,"")</f>
        <v/>
      </c>
      <c r="N128" s="151" t="str">
        <f>IFERROR(VLOOKUP(K128,Recipes!$A$2:$F$208,6,FALSE)*L128,"")</f>
        <v/>
      </c>
      <c r="O128" s="162" t="str">
        <f t="shared" si="18"/>
        <v/>
      </c>
      <c r="P128" s="16">
        <f t="shared" si="19"/>
        <v>0</v>
      </c>
    </row>
    <row r="129" spans="1:16" x14ac:dyDescent="0.25">
      <c r="A129" s="20"/>
      <c r="B129" s="1"/>
      <c r="C129" s="1"/>
      <c r="D129" s="14"/>
      <c r="E129" s="14" t="str">
        <f>IFERROR(VLOOKUP(C129,Recipes!$A$2:$F$208,5,FALSE)*D129,"")</f>
        <v/>
      </c>
      <c r="F129" s="14" t="str">
        <f>IFERROR(VLOOKUP(C129,Recipes!$A$2:$F$208,6,FALSE)*D129,"")</f>
        <v/>
      </c>
      <c r="G129" s="162" t="str">
        <f t="shared" si="16"/>
        <v/>
      </c>
      <c r="H129" s="16">
        <f t="shared" si="17"/>
        <v>0</v>
      </c>
      <c r="I129" s="47"/>
      <c r="J129" s="20"/>
      <c r="K129" s="1"/>
      <c r="L129" s="14"/>
      <c r="M129" s="151" t="str">
        <f>IFERROR(VLOOKUP(K129,Recipes!$A$2:$F$208,5,FALSE)*L129,"")</f>
        <v/>
      </c>
      <c r="N129" s="151" t="str">
        <f>IFERROR(VLOOKUP(K129,Recipes!$A$2:$F$208,6,FALSE)*L129,"")</f>
        <v/>
      </c>
      <c r="O129" s="162" t="str">
        <f t="shared" si="18"/>
        <v/>
      </c>
      <c r="P129" s="16">
        <f t="shared" si="19"/>
        <v>0</v>
      </c>
    </row>
    <row r="130" spans="1:16" x14ac:dyDescent="0.25">
      <c r="A130" s="20"/>
      <c r="B130" s="1"/>
      <c r="C130" s="1"/>
      <c r="D130" s="14"/>
      <c r="E130" s="14" t="str">
        <f>IFERROR(VLOOKUP(C130,Recipes!$A$2:$F$208,5,FALSE)*D130,"")</f>
        <v/>
      </c>
      <c r="F130" s="14" t="str">
        <f>IFERROR(VLOOKUP(C130,Recipes!$A$2:$F$208,6,FALSE)*D130,"")</f>
        <v/>
      </c>
      <c r="G130" s="162" t="str">
        <f t="shared" si="16"/>
        <v/>
      </c>
      <c r="H130" s="16">
        <f t="shared" si="17"/>
        <v>0</v>
      </c>
      <c r="I130" s="47"/>
      <c r="J130" s="20"/>
      <c r="K130" s="1"/>
      <c r="L130" s="14"/>
      <c r="M130" s="151" t="str">
        <f>IFERROR(VLOOKUP(K130,Recipes!$A$2:$F$208,5,FALSE)*L130,"")</f>
        <v/>
      </c>
      <c r="N130" s="151" t="str">
        <f>IFERROR(VLOOKUP(K130,Recipes!$A$2:$F$208,6,FALSE)*L130,"")</f>
        <v/>
      </c>
      <c r="O130" s="162" t="str">
        <f t="shared" si="18"/>
        <v/>
      </c>
      <c r="P130" s="16">
        <f t="shared" si="19"/>
        <v>0</v>
      </c>
    </row>
    <row r="131" spans="1:16" x14ac:dyDescent="0.25">
      <c r="A131" s="20"/>
      <c r="B131" s="1"/>
      <c r="C131" s="1"/>
      <c r="D131" s="14"/>
      <c r="E131" s="14" t="str">
        <f>IFERROR(VLOOKUP(C131,Recipes!$A$2:$F$208,5,FALSE)*D131,"")</f>
        <v/>
      </c>
      <c r="F131" s="14" t="str">
        <f>IFERROR(VLOOKUP(C131,Recipes!$A$2:$F$208,6,FALSE)*D131,"")</f>
        <v/>
      </c>
      <c r="G131" s="162" t="str">
        <f t="shared" si="16"/>
        <v/>
      </c>
      <c r="H131" s="16">
        <f t="shared" si="17"/>
        <v>0</v>
      </c>
      <c r="I131" s="47"/>
      <c r="J131" s="20"/>
      <c r="K131" s="1"/>
      <c r="L131" s="14"/>
      <c r="M131" s="151" t="str">
        <f>IFERROR(VLOOKUP(K131,Recipes!$A$2:$F$208,5,FALSE)*L131,"")</f>
        <v/>
      </c>
      <c r="N131" s="151" t="str">
        <f>IFERROR(VLOOKUP(K131,Recipes!$A$2:$F$208,6,FALSE)*L131,"")</f>
        <v/>
      </c>
      <c r="O131" s="162" t="str">
        <f t="shared" si="18"/>
        <v/>
      </c>
      <c r="P131" s="16">
        <f t="shared" si="19"/>
        <v>0</v>
      </c>
    </row>
    <row r="132" spans="1:16" x14ac:dyDescent="0.25">
      <c r="A132" s="20"/>
      <c r="B132" s="1"/>
      <c r="C132" s="1"/>
      <c r="D132" s="14"/>
      <c r="E132" s="14" t="str">
        <f>IFERROR(VLOOKUP(C132,Recipes!$A$2:$F$208,5,FALSE)*D132,"")</f>
        <v/>
      </c>
      <c r="F132" s="14" t="str">
        <f>IFERROR(VLOOKUP(C132,Recipes!$A$2:$F$208,6,FALSE)*D132,"")</f>
        <v/>
      </c>
      <c r="G132" s="162" t="str">
        <f t="shared" si="16"/>
        <v/>
      </c>
      <c r="H132" s="16">
        <f t="shared" si="17"/>
        <v>0</v>
      </c>
      <c r="I132" s="47"/>
      <c r="J132" s="20"/>
      <c r="K132" s="1"/>
      <c r="L132" s="14"/>
      <c r="M132" s="151" t="str">
        <f>IFERROR(VLOOKUP(K132,Recipes!$A$2:$F$208,5,FALSE)*L132,"")</f>
        <v/>
      </c>
      <c r="N132" s="151" t="str">
        <f>IFERROR(VLOOKUP(K132,Recipes!$A$2:$F$208,6,FALSE)*L132,"")</f>
        <v/>
      </c>
      <c r="O132" s="162" t="str">
        <f t="shared" si="18"/>
        <v/>
      </c>
      <c r="P132" s="16">
        <f t="shared" si="19"/>
        <v>0</v>
      </c>
    </row>
    <row r="133" spans="1:16" x14ac:dyDescent="0.25">
      <c r="A133" s="20"/>
      <c r="B133" s="1"/>
      <c r="C133" s="1"/>
      <c r="D133" s="14"/>
      <c r="E133" s="14" t="str">
        <f>IFERROR(VLOOKUP(C133,Recipes!$A$2:$F$208,5,FALSE)*D133,"")</f>
        <v/>
      </c>
      <c r="F133" s="14" t="str">
        <f>IFERROR(VLOOKUP(C133,Recipes!$A$2:$F$208,6,FALSE)*D133,"")</f>
        <v/>
      </c>
      <c r="G133" s="162" t="str">
        <f t="shared" si="16"/>
        <v/>
      </c>
      <c r="H133" s="16">
        <f t="shared" si="17"/>
        <v>0</v>
      </c>
      <c r="I133" s="47"/>
      <c r="J133" s="20"/>
      <c r="K133" s="1"/>
      <c r="L133" s="14"/>
      <c r="M133" s="151" t="str">
        <f>IFERROR(VLOOKUP(K133,Recipes!$A$2:$F$208,5,FALSE)*L133,"")</f>
        <v/>
      </c>
      <c r="N133" s="151" t="str">
        <f>IFERROR(VLOOKUP(K133,Recipes!$A$2:$F$208,6,FALSE)*L133,"")</f>
        <v/>
      </c>
      <c r="O133" s="162" t="str">
        <f t="shared" si="18"/>
        <v/>
      </c>
      <c r="P133" s="16">
        <f t="shared" si="19"/>
        <v>0</v>
      </c>
    </row>
    <row r="134" spans="1:16" x14ac:dyDescent="0.25">
      <c r="A134" s="20"/>
      <c r="B134" s="1"/>
      <c r="C134" s="1"/>
      <c r="D134" s="14"/>
      <c r="E134" s="14" t="str">
        <f>IFERROR(VLOOKUP(C134,Recipes!$A$2:$F$208,5,FALSE)*D134,"")</f>
        <v/>
      </c>
      <c r="F134" s="14" t="str">
        <f>IFERROR(VLOOKUP(C134,Recipes!$A$2:$F$208,6,FALSE)*D134,"")</f>
        <v/>
      </c>
      <c r="G134" s="162" t="str">
        <f t="shared" si="16"/>
        <v/>
      </c>
      <c r="H134" s="16">
        <f t="shared" si="17"/>
        <v>0</v>
      </c>
      <c r="I134" s="47"/>
      <c r="J134" s="20"/>
      <c r="K134" s="1"/>
      <c r="L134" s="14"/>
      <c r="M134" s="151" t="str">
        <f>IFERROR(VLOOKUP(K134,Recipes!$A$2:$F$208,5,FALSE)*L134,"")</f>
        <v/>
      </c>
      <c r="N134" s="151" t="str">
        <f>IFERROR(VLOOKUP(K134,Recipes!$A$2:$F$208,6,FALSE)*L134,"")</f>
        <v/>
      </c>
      <c r="O134" s="162" t="str">
        <f t="shared" si="18"/>
        <v/>
      </c>
      <c r="P134" s="16">
        <f t="shared" si="19"/>
        <v>0</v>
      </c>
    </row>
    <row r="135" spans="1:16" x14ac:dyDescent="0.25">
      <c r="A135" s="20"/>
      <c r="B135" s="1"/>
      <c r="C135" s="1"/>
      <c r="D135" s="14"/>
      <c r="E135" s="14" t="str">
        <f>IFERROR(VLOOKUP(C135,Recipes!$A$2:$F$208,5,FALSE)*D135,"")</f>
        <v/>
      </c>
      <c r="F135" s="14" t="str">
        <f>IFERROR(VLOOKUP(C135,Recipes!$A$2:$F$208,6,FALSE)*D135,"")</f>
        <v/>
      </c>
      <c r="G135" s="162" t="str">
        <f t="shared" si="16"/>
        <v/>
      </c>
      <c r="H135" s="16">
        <f t="shared" si="17"/>
        <v>0</v>
      </c>
      <c r="I135" s="47"/>
      <c r="J135" s="20"/>
      <c r="K135" s="1"/>
      <c r="L135" s="14"/>
      <c r="M135" s="151" t="str">
        <f>IFERROR(VLOOKUP(K135,Recipes!$A$2:$F$208,5,FALSE)*L135,"")</f>
        <v/>
      </c>
      <c r="N135" s="151" t="str">
        <f>IFERROR(VLOOKUP(K135,Recipes!$A$2:$F$208,6,FALSE)*L135,"")</f>
        <v/>
      </c>
      <c r="O135" s="162" t="str">
        <f t="shared" si="18"/>
        <v/>
      </c>
      <c r="P135" s="16">
        <f t="shared" si="19"/>
        <v>0</v>
      </c>
    </row>
    <row r="136" spans="1:16" x14ac:dyDescent="0.25">
      <c r="A136" s="20"/>
      <c r="B136" s="1"/>
      <c r="C136" s="1"/>
      <c r="D136" s="14"/>
      <c r="E136" s="14" t="str">
        <f>IFERROR(VLOOKUP(C136,Recipes!$A$2:$F$208,5,FALSE)*D136,"")</f>
        <v/>
      </c>
      <c r="F136" s="14" t="str">
        <f>IFERROR(VLOOKUP(C136,Recipes!$A$2:$F$208,6,FALSE)*D136,"")</f>
        <v/>
      </c>
      <c r="G136" s="162" t="str">
        <f t="shared" si="16"/>
        <v/>
      </c>
      <c r="H136" s="16">
        <f t="shared" si="17"/>
        <v>0</v>
      </c>
      <c r="I136" s="47"/>
      <c r="J136" s="20"/>
      <c r="K136" s="1"/>
      <c r="L136" s="14"/>
      <c r="M136" s="151" t="str">
        <f>IFERROR(VLOOKUP(K136,Recipes!$A$2:$F$208,5,FALSE)*L136,"")</f>
        <v/>
      </c>
      <c r="N136" s="151" t="str">
        <f>IFERROR(VLOOKUP(K136,Recipes!$A$2:$F$208,6,FALSE)*L136,"")</f>
        <v/>
      </c>
      <c r="O136" s="162" t="str">
        <f t="shared" si="18"/>
        <v/>
      </c>
      <c r="P136" s="16">
        <f t="shared" si="19"/>
        <v>0</v>
      </c>
    </row>
    <row r="137" spans="1:16" x14ac:dyDescent="0.25">
      <c r="A137" s="20"/>
      <c r="B137" s="1"/>
      <c r="C137" s="1"/>
      <c r="D137" s="14"/>
      <c r="E137" s="14" t="str">
        <f>IFERROR(VLOOKUP(C137,Recipes!$A$2:$F$208,5,FALSE)*D137,"")</f>
        <v/>
      </c>
      <c r="F137" s="14" t="str">
        <f>IFERROR(VLOOKUP(C137,Recipes!$A$2:$F$208,6,FALSE)*D137,"")</f>
        <v/>
      </c>
      <c r="G137" s="162" t="str">
        <f t="shared" si="16"/>
        <v/>
      </c>
      <c r="H137" s="16">
        <f t="shared" si="17"/>
        <v>0</v>
      </c>
      <c r="I137" s="47"/>
      <c r="J137" s="20"/>
      <c r="K137" s="1"/>
      <c r="L137" s="14"/>
      <c r="M137" s="151" t="str">
        <f>IFERROR(VLOOKUP(K137,Recipes!$A$2:$F$208,5,FALSE)*L137,"")</f>
        <v/>
      </c>
      <c r="N137" s="151" t="str">
        <f>IFERROR(VLOOKUP(K137,Recipes!$A$2:$F$208,6,FALSE)*L137,"")</f>
        <v/>
      </c>
      <c r="O137" s="162" t="str">
        <f t="shared" si="18"/>
        <v/>
      </c>
      <c r="P137" s="16">
        <f t="shared" si="19"/>
        <v>0</v>
      </c>
    </row>
    <row r="138" spans="1:16" x14ac:dyDescent="0.25">
      <c r="A138" s="20"/>
      <c r="B138" s="1"/>
      <c r="C138" s="1"/>
      <c r="D138" s="14"/>
      <c r="E138" s="14" t="str">
        <f>IFERROR(VLOOKUP(C138,Recipes!$A$2:$F$208,5,FALSE)*D138,"")</f>
        <v/>
      </c>
      <c r="F138" s="14" t="str">
        <f>IFERROR(VLOOKUP(C138,Recipes!$A$2:$F$208,6,FALSE)*D138,"")</f>
        <v/>
      </c>
      <c r="G138" s="162" t="str">
        <f t="shared" si="16"/>
        <v/>
      </c>
      <c r="H138" s="16">
        <f t="shared" si="17"/>
        <v>0</v>
      </c>
      <c r="I138" s="47"/>
      <c r="J138" s="20"/>
      <c r="K138" s="1"/>
      <c r="L138" s="14"/>
      <c r="M138" s="151" t="str">
        <f>IFERROR(VLOOKUP(K138,Recipes!$A$2:$F$208,5,FALSE)*L138,"")</f>
        <v/>
      </c>
      <c r="N138" s="151" t="str">
        <f>IFERROR(VLOOKUP(K138,Recipes!$A$2:$F$208,6,FALSE)*L138,"")</f>
        <v/>
      </c>
      <c r="O138" s="162" t="str">
        <f t="shared" si="18"/>
        <v/>
      </c>
      <c r="P138" s="16">
        <f t="shared" si="19"/>
        <v>0</v>
      </c>
    </row>
    <row r="139" spans="1:16" x14ac:dyDescent="0.25">
      <c r="A139" s="20"/>
      <c r="B139" s="1"/>
      <c r="C139" s="1"/>
      <c r="D139" s="14"/>
      <c r="E139" s="14" t="str">
        <f>IFERROR(VLOOKUP(C139,Recipes!$A$2:$F$208,5,FALSE)*D139,"")</f>
        <v/>
      </c>
      <c r="F139" s="14" t="str">
        <f>IFERROR(VLOOKUP(C139,Recipes!$A$2:$F$208,6,FALSE)*D139,"")</f>
        <v/>
      </c>
      <c r="G139" s="162" t="str">
        <f t="shared" si="16"/>
        <v/>
      </c>
      <c r="H139" s="16">
        <f t="shared" si="17"/>
        <v>0</v>
      </c>
      <c r="I139" s="47"/>
      <c r="J139" s="20"/>
      <c r="K139" s="1"/>
      <c r="L139" s="14"/>
      <c r="M139" s="151" t="str">
        <f>IFERROR(VLOOKUP(K139,Recipes!$A$2:$F$208,5,FALSE)*L139,"")</f>
        <v/>
      </c>
      <c r="N139" s="151" t="str">
        <f>IFERROR(VLOOKUP(K139,Recipes!$A$2:$F$208,6,FALSE)*L139,"")</f>
        <v/>
      </c>
      <c r="O139" s="162" t="str">
        <f t="shared" si="18"/>
        <v/>
      </c>
      <c r="P139" s="16">
        <f t="shared" si="19"/>
        <v>0</v>
      </c>
    </row>
    <row r="140" spans="1:16" x14ac:dyDescent="0.25">
      <c r="A140" s="20"/>
      <c r="B140" s="1"/>
      <c r="C140" s="1"/>
      <c r="D140" s="14"/>
      <c r="E140" s="14" t="str">
        <f>IFERROR(VLOOKUP(C140,Recipes!$A$2:$F$208,5,FALSE)*D140,"")</f>
        <v/>
      </c>
      <c r="F140" s="14" t="str">
        <f>IFERROR(VLOOKUP(C140,Recipes!$A$2:$F$208,6,FALSE)*D140,"")</f>
        <v/>
      </c>
      <c r="G140" s="162" t="str">
        <f t="shared" si="16"/>
        <v/>
      </c>
      <c r="H140" s="16">
        <f t="shared" si="17"/>
        <v>0</v>
      </c>
      <c r="I140" s="47"/>
      <c r="J140" s="20"/>
      <c r="K140" s="1"/>
      <c r="L140" s="14"/>
      <c r="M140" s="151" t="str">
        <f>IFERROR(VLOOKUP(K140,Recipes!$A$2:$F$208,5,FALSE)*L140,"")</f>
        <v/>
      </c>
      <c r="N140" s="151" t="str">
        <f>IFERROR(VLOOKUP(K140,Recipes!$A$2:$F$208,6,FALSE)*L140,"")</f>
        <v/>
      </c>
      <c r="O140" s="162" t="str">
        <f t="shared" si="18"/>
        <v/>
      </c>
      <c r="P140" s="16">
        <f t="shared" si="19"/>
        <v>0</v>
      </c>
    </row>
    <row r="141" spans="1:16" x14ac:dyDescent="0.25">
      <c r="A141" s="20"/>
      <c r="B141" s="1"/>
      <c r="C141" s="1"/>
      <c r="D141" s="14"/>
      <c r="E141" s="14" t="str">
        <f>IFERROR(VLOOKUP(C141,Recipes!$A$2:$F$208,5,FALSE)*D141,"")</f>
        <v/>
      </c>
      <c r="F141" s="14" t="str">
        <f>IFERROR(VLOOKUP(C141,Recipes!$A$2:$F$208,6,FALSE)*D141,"")</f>
        <v/>
      </c>
      <c r="G141" s="162" t="str">
        <f t="shared" si="16"/>
        <v/>
      </c>
      <c r="H141" s="16">
        <f t="shared" si="17"/>
        <v>0</v>
      </c>
      <c r="I141" s="47"/>
      <c r="J141" s="20"/>
      <c r="K141" s="1"/>
      <c r="L141" s="14"/>
      <c r="M141" s="151" t="str">
        <f>IFERROR(VLOOKUP(K141,Recipes!$A$2:$F$208,5,FALSE)*L141,"")</f>
        <v/>
      </c>
      <c r="N141" s="151" t="str">
        <f>IFERROR(VLOOKUP(K141,Recipes!$A$2:$F$208,6,FALSE)*L141,"")</f>
        <v/>
      </c>
      <c r="O141" s="162" t="str">
        <f t="shared" si="18"/>
        <v/>
      </c>
      <c r="P141" s="16">
        <f t="shared" si="19"/>
        <v>0</v>
      </c>
    </row>
    <row r="142" spans="1:16" x14ac:dyDescent="0.25">
      <c r="A142" s="21"/>
      <c r="B142" s="8"/>
      <c r="C142" s="8"/>
      <c r="D142" s="15"/>
      <c r="E142" s="15" t="str">
        <f>IFERROR(VLOOKUP(C142,Recipes!$A$2:$F$208,5,FALSE)*D142,"")</f>
        <v/>
      </c>
      <c r="F142" s="15" t="str">
        <f>IFERROR(VLOOKUP(C142,Recipes!$A$2:$F$208,6,FALSE)*D142,"")</f>
        <v/>
      </c>
      <c r="G142" s="17" t="str">
        <f t="shared" si="16"/>
        <v/>
      </c>
      <c r="H142" s="17">
        <f t="shared" si="17"/>
        <v>0</v>
      </c>
      <c r="I142" s="47"/>
      <c r="J142" s="21"/>
      <c r="K142" s="8"/>
      <c r="L142" s="15"/>
      <c r="M142" s="152" t="str">
        <f>IFERROR(VLOOKUP(K142,Recipes!$A$2:$F$208,5,FALSE)*L142,"")</f>
        <v/>
      </c>
      <c r="N142" s="152" t="str">
        <f>IFERROR(VLOOKUP(K142,Recipes!$A$2:$F$208,6,FALSE)*L142,"")</f>
        <v/>
      </c>
      <c r="O142" s="163" t="str">
        <f t="shared" si="18"/>
        <v/>
      </c>
      <c r="P142" s="17">
        <f t="shared" si="19"/>
        <v>0</v>
      </c>
    </row>
    <row r="143" spans="1:16" x14ac:dyDescent="0.25">
      <c r="M143" s="159"/>
    </row>
    <row r="144" spans="1:16" x14ac:dyDescent="0.25">
      <c r="M144" s="159"/>
    </row>
    <row r="145" spans="13:13" x14ac:dyDescent="0.25">
      <c r="M145" s="159"/>
    </row>
    <row r="146" spans="13:13" x14ac:dyDescent="0.25">
      <c r="M146" s="159"/>
    </row>
    <row r="147" spans="13:13" x14ac:dyDescent="0.25">
      <c r="M147" s="159"/>
    </row>
    <row r="148" spans="13:13" x14ac:dyDescent="0.25">
      <c r="M148" s="159"/>
    </row>
    <row r="149" spans="13:13" x14ac:dyDescent="0.25">
      <c r="M149" s="159"/>
    </row>
    <row r="150" spans="13:13" x14ac:dyDescent="0.25">
      <c r="M150" s="159"/>
    </row>
    <row r="151" spans="13:13" x14ac:dyDescent="0.25">
      <c r="M151" s="159"/>
    </row>
    <row r="152" spans="13:13" x14ac:dyDescent="0.25">
      <c r="M152" s="159"/>
    </row>
    <row r="153" spans="13:13" x14ac:dyDescent="0.25">
      <c r="M153" s="159"/>
    </row>
    <row r="154" spans="13:13" x14ac:dyDescent="0.25">
      <c r="M154" s="159"/>
    </row>
  </sheetData>
  <mergeCells count="2">
    <mergeCell ref="B1:H1"/>
    <mergeCell ref="J1:P1"/>
  </mergeCells>
  <dataValidations count="1">
    <dataValidation type="list" allowBlank="1" showInputMessage="1" showErrorMessage="1" sqref="B4:B30 J88:J114 B116:B142 B88:B114 J4:J30 J32:J58 J60:J86 J116:J142 B32:B58 B60:B86" xr:uid="{00000000-0002-0000-0300-000000000000}">
      <formula1>"Breakfast,Snack,Lunch,Dinner"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1000000}">
          <x14:formula1>
            <xm:f>Recipes!$J$2:$J$48</xm:f>
          </x14:formula1>
          <xm:sqref>C4:C30 K88:K114 K60:K86 K32:K58 K4:K30 C88:C114 C116:C142 K116:K142 C32:C58 C60:C86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I63"/>
  <sheetViews>
    <sheetView workbookViewId="0">
      <selection activeCell="E14" sqref="E14"/>
    </sheetView>
  </sheetViews>
  <sheetFormatPr defaultRowHeight="15" x14ac:dyDescent="0.25"/>
  <cols>
    <col min="2" max="2" width="7.85546875" style="47" customWidth="1"/>
    <col min="3" max="6" width="19.5703125" customWidth="1"/>
    <col min="7" max="8" width="19.5703125" style="3" customWidth="1"/>
  </cols>
  <sheetData>
    <row r="1" spans="1:9" x14ac:dyDescent="0.25">
      <c r="A1" s="186"/>
      <c r="B1" s="188" t="s">
        <v>184</v>
      </c>
      <c r="C1" s="190" t="s">
        <v>185</v>
      </c>
      <c r="D1" s="191"/>
      <c r="E1" s="191"/>
      <c r="F1" s="192"/>
      <c r="G1" s="190" t="s">
        <v>186</v>
      </c>
      <c r="H1" s="192"/>
    </row>
    <row r="2" spans="1:9" s="6" customFormat="1" ht="83.25" customHeight="1" thickBot="1" x14ac:dyDescent="0.3">
      <c r="A2" s="187"/>
      <c r="B2" s="189"/>
      <c r="C2" s="62" t="s">
        <v>187</v>
      </c>
      <c r="D2" s="62" t="s">
        <v>188</v>
      </c>
      <c r="E2" s="62" t="s">
        <v>189</v>
      </c>
      <c r="F2" s="62" t="s">
        <v>190</v>
      </c>
      <c r="G2" s="62" t="s">
        <v>187</v>
      </c>
      <c r="H2" s="62" t="s">
        <v>189</v>
      </c>
    </row>
    <row r="3" spans="1:9" x14ac:dyDescent="0.25">
      <c r="A3" s="18" t="s">
        <v>191</v>
      </c>
      <c r="B3" s="153">
        <v>1</v>
      </c>
      <c r="C3" s="156" t="str">
        <f>IF(B3=1,G3,"")</f>
        <v>A</v>
      </c>
      <c r="D3" s="157">
        <f>VLOOKUP(C3,Meals!$A$3:$H$142,6,FALSE)</f>
        <v>3461.73</v>
      </c>
      <c r="E3" s="156" t="str">
        <f>IF(B3=1,H3,"")</f>
        <v>A</v>
      </c>
      <c r="F3" s="157">
        <f>VLOOKUP(E3,Meals!$A$3:$N$142,14,FALSE)</f>
        <v>3645.9571428571426</v>
      </c>
      <c r="G3" s="106" t="s">
        <v>175</v>
      </c>
      <c r="H3" s="106" t="s">
        <v>175</v>
      </c>
    </row>
    <row r="4" spans="1:9" x14ac:dyDescent="0.25">
      <c r="A4" s="19" t="s">
        <v>192</v>
      </c>
      <c r="B4" s="154">
        <v>1</v>
      </c>
      <c r="C4" s="156" t="str">
        <f t="shared" ref="C4:C57" si="0">IF(B4=1,G4,"")</f>
        <v>B</v>
      </c>
      <c r="D4" s="157">
        <f>VLOOKUP(C4,Meals!$A$3:$H$142,6,FALSE)</f>
        <v>3595.73</v>
      </c>
      <c r="E4" s="156" t="str">
        <f t="shared" ref="E4:E57" si="1">IF(B4=1,H4,"")</f>
        <v>B</v>
      </c>
      <c r="F4" s="157">
        <f>VLOOKUP(E4,Meals!$A$3:$N$142,14,FALSE)</f>
        <v>3635.8571428571427</v>
      </c>
      <c r="G4" s="106" t="s">
        <v>180</v>
      </c>
      <c r="H4" s="106" t="s">
        <v>180</v>
      </c>
    </row>
    <row r="5" spans="1:9" x14ac:dyDescent="0.25">
      <c r="A5" s="19" t="s">
        <v>193</v>
      </c>
      <c r="B5" s="154">
        <v>1</v>
      </c>
      <c r="C5" s="156" t="str">
        <f t="shared" si="0"/>
        <v>C</v>
      </c>
      <c r="D5" s="157">
        <f>VLOOKUP(C5,Meals!$A$3:$H$142,6,FALSE)</f>
        <v>3460.4500000000003</v>
      </c>
      <c r="E5" s="156" t="str">
        <f t="shared" si="1"/>
        <v>C</v>
      </c>
      <c r="F5" s="157">
        <f>VLOOKUP(E5,Meals!$A$3:$N$142,14,FALSE)</f>
        <v>3520.1571428571428</v>
      </c>
      <c r="G5" s="106" t="s">
        <v>181</v>
      </c>
      <c r="H5" s="106" t="s">
        <v>181</v>
      </c>
    </row>
    <row r="6" spans="1:9" x14ac:dyDescent="0.25">
      <c r="A6" s="19" t="s">
        <v>194</v>
      </c>
      <c r="B6" s="154">
        <v>1</v>
      </c>
      <c r="C6" s="156" t="str">
        <f t="shared" si="0"/>
        <v>A</v>
      </c>
      <c r="D6" s="157">
        <f>VLOOKUP(C6,Meals!$A$3:$H$142,6,FALSE)</f>
        <v>3461.73</v>
      </c>
      <c r="E6" s="156" t="str">
        <f t="shared" si="1"/>
        <v>D</v>
      </c>
      <c r="F6" s="157">
        <f>VLOOKUP(E6,Meals!$A$3:$N$142,14,FALSE)</f>
        <v>3606.9571428571426</v>
      </c>
      <c r="G6" s="106" t="s">
        <v>175</v>
      </c>
      <c r="H6" s="106" t="s">
        <v>182</v>
      </c>
    </row>
    <row r="7" spans="1:9" x14ac:dyDescent="0.25">
      <c r="A7" s="19" t="s">
        <v>195</v>
      </c>
      <c r="B7" s="154">
        <v>1</v>
      </c>
      <c r="C7" s="156" t="str">
        <f t="shared" si="0"/>
        <v>B</v>
      </c>
      <c r="D7" s="157">
        <f>VLOOKUP(C7,Meals!$A$3:$H$142,6,FALSE)</f>
        <v>3595.73</v>
      </c>
      <c r="E7" s="156" t="str">
        <f t="shared" si="1"/>
        <v>E</v>
      </c>
      <c r="F7" s="157">
        <f>VLOOKUP(E7,Meals!$A$3:$N$142,14,FALSE)</f>
        <v>3520.8571428571427</v>
      </c>
      <c r="G7" s="106" t="s">
        <v>180</v>
      </c>
      <c r="H7" s="106" t="s">
        <v>183</v>
      </c>
    </row>
    <row r="8" spans="1:9" x14ac:dyDescent="0.25">
      <c r="A8" s="19" t="s">
        <v>196</v>
      </c>
      <c r="B8" s="154">
        <v>1</v>
      </c>
      <c r="C8" s="156" t="str">
        <f t="shared" si="0"/>
        <v>C</v>
      </c>
      <c r="D8" s="157">
        <f>VLOOKUP(C8,Meals!$A$3:$H$142,6,FALSE)</f>
        <v>3460.4500000000003</v>
      </c>
      <c r="E8" s="156" t="str">
        <f t="shared" si="1"/>
        <v>A</v>
      </c>
      <c r="F8" s="157">
        <f>VLOOKUP(E8,Meals!$A$3:$N$142,14,FALSE)</f>
        <v>3645.9571428571426</v>
      </c>
      <c r="G8" s="106" t="s">
        <v>181</v>
      </c>
      <c r="H8" s="106" t="s">
        <v>175</v>
      </c>
    </row>
    <row r="9" spans="1:9" x14ac:dyDescent="0.25">
      <c r="A9" s="19" t="s">
        <v>197</v>
      </c>
      <c r="B9" s="154">
        <v>1</v>
      </c>
      <c r="C9" s="156" t="str">
        <f t="shared" si="0"/>
        <v>A</v>
      </c>
      <c r="D9" s="157">
        <f>VLOOKUP(C9,Meals!$A$3:$H$142,6,FALSE)</f>
        <v>3461.73</v>
      </c>
      <c r="E9" s="156" t="str">
        <f t="shared" si="1"/>
        <v>B</v>
      </c>
      <c r="F9" s="157">
        <f>VLOOKUP(E9,Meals!$A$3:$N$142,14,FALSE)</f>
        <v>3635.8571428571427</v>
      </c>
      <c r="G9" s="106" t="s">
        <v>175</v>
      </c>
      <c r="H9" s="106" t="s">
        <v>180</v>
      </c>
      <c r="I9" t="s">
        <v>198</v>
      </c>
    </row>
    <row r="10" spans="1:9" x14ac:dyDescent="0.25">
      <c r="A10" s="19" t="s">
        <v>199</v>
      </c>
      <c r="B10" s="154">
        <v>1</v>
      </c>
      <c r="C10" s="156" t="str">
        <f t="shared" si="0"/>
        <v>B</v>
      </c>
      <c r="D10" s="157">
        <f>VLOOKUP(C10,Meals!$A$3:$H$142,6,FALSE)</f>
        <v>3595.73</v>
      </c>
      <c r="E10" s="156" t="str">
        <f t="shared" si="1"/>
        <v>C</v>
      </c>
      <c r="F10" s="157">
        <f>VLOOKUP(E10,Meals!$A$3:$N$142,14,FALSE)</f>
        <v>3520.1571428571428</v>
      </c>
      <c r="G10" s="106" t="s">
        <v>180</v>
      </c>
      <c r="H10" s="106" t="s">
        <v>181</v>
      </c>
    </row>
    <row r="11" spans="1:9" x14ac:dyDescent="0.25">
      <c r="A11" s="19" t="s">
        <v>200</v>
      </c>
      <c r="B11" s="154">
        <v>1</v>
      </c>
      <c r="C11" s="156" t="str">
        <f t="shared" si="0"/>
        <v>C</v>
      </c>
      <c r="D11" s="157">
        <f>VLOOKUP(C11,Meals!$A$3:$H$142,6,FALSE)</f>
        <v>3460.4500000000003</v>
      </c>
      <c r="E11" s="156" t="str">
        <f t="shared" si="1"/>
        <v>D</v>
      </c>
      <c r="F11" s="157">
        <f>VLOOKUP(E11,Meals!$A$3:$N$142,14,FALSE)</f>
        <v>3606.9571428571426</v>
      </c>
      <c r="G11" s="106" t="s">
        <v>181</v>
      </c>
      <c r="H11" s="106" t="s">
        <v>182</v>
      </c>
    </row>
    <row r="12" spans="1:9" x14ac:dyDescent="0.25">
      <c r="A12" s="19" t="s">
        <v>201</v>
      </c>
      <c r="B12" s="154">
        <v>1</v>
      </c>
      <c r="C12" s="156" t="str">
        <f t="shared" si="0"/>
        <v>A</v>
      </c>
      <c r="D12" s="157">
        <f>VLOOKUP(C12,Meals!$A$3:$H$142,6,FALSE)</f>
        <v>3461.73</v>
      </c>
      <c r="E12" s="156" t="str">
        <f t="shared" si="1"/>
        <v>E</v>
      </c>
      <c r="F12" s="157">
        <f>VLOOKUP(E12,Meals!$A$3:$N$142,14,FALSE)</f>
        <v>3520.8571428571427</v>
      </c>
      <c r="G12" s="106" t="s">
        <v>175</v>
      </c>
      <c r="H12" s="106" t="s">
        <v>183</v>
      </c>
    </row>
    <row r="13" spans="1:9" x14ac:dyDescent="0.25">
      <c r="A13" s="19" t="s">
        <v>202</v>
      </c>
      <c r="B13" s="154">
        <v>1</v>
      </c>
      <c r="C13" s="156" t="str">
        <f t="shared" si="0"/>
        <v>B</v>
      </c>
      <c r="D13" s="157">
        <f>VLOOKUP(C13,Meals!$A$3:$H$142,6,FALSE)</f>
        <v>3595.73</v>
      </c>
      <c r="E13" s="156" t="str">
        <f t="shared" si="1"/>
        <v>A</v>
      </c>
      <c r="F13" s="157">
        <f>VLOOKUP(E13,Meals!$A$3:$N$142,14,FALSE)</f>
        <v>3645.9571428571426</v>
      </c>
      <c r="G13" s="106" t="s">
        <v>180</v>
      </c>
      <c r="H13" s="106" t="s">
        <v>175</v>
      </c>
    </row>
    <row r="14" spans="1:9" x14ac:dyDescent="0.25">
      <c r="A14" s="19" t="s">
        <v>203</v>
      </c>
      <c r="B14" s="154">
        <v>1</v>
      </c>
      <c r="C14" s="156" t="str">
        <f t="shared" si="0"/>
        <v>C</v>
      </c>
      <c r="D14" s="157">
        <f>VLOOKUP(C14,Meals!$A$3:$H$142,6,FALSE)</f>
        <v>3460.4500000000003</v>
      </c>
      <c r="E14" s="156" t="str">
        <f t="shared" si="1"/>
        <v>B</v>
      </c>
      <c r="F14" s="157">
        <f>VLOOKUP(E14,Meals!$A$3:$N$142,14,FALSE)</f>
        <v>3635.8571428571427</v>
      </c>
      <c r="G14" s="106" t="s">
        <v>181</v>
      </c>
      <c r="H14" s="106" t="s">
        <v>180</v>
      </c>
    </row>
    <row r="15" spans="1:9" x14ac:dyDescent="0.25">
      <c r="A15" s="19" t="s">
        <v>204</v>
      </c>
      <c r="B15" s="154">
        <v>1</v>
      </c>
      <c r="C15" s="156" t="str">
        <f t="shared" si="0"/>
        <v>A</v>
      </c>
      <c r="D15" s="157">
        <f>VLOOKUP(C15,Meals!$A$3:$H$142,6,FALSE)</f>
        <v>3461.73</v>
      </c>
      <c r="E15" s="156" t="str">
        <f t="shared" si="1"/>
        <v>C</v>
      </c>
      <c r="F15" s="157">
        <f>VLOOKUP(E15,Meals!$A$3:$N$142,14,FALSE)</f>
        <v>3520.1571428571428</v>
      </c>
      <c r="G15" s="106" t="s">
        <v>175</v>
      </c>
      <c r="H15" s="106" t="s">
        <v>181</v>
      </c>
    </row>
    <row r="16" spans="1:9" x14ac:dyDescent="0.25">
      <c r="A16" s="19" t="s">
        <v>205</v>
      </c>
      <c r="B16" s="154">
        <v>1</v>
      </c>
      <c r="C16" s="156" t="str">
        <f t="shared" si="0"/>
        <v>B</v>
      </c>
      <c r="D16" s="157">
        <f>VLOOKUP(C16,Meals!$A$3:$H$142,6,FALSE)</f>
        <v>3595.73</v>
      </c>
      <c r="E16" s="156" t="str">
        <f t="shared" si="1"/>
        <v>D</v>
      </c>
      <c r="F16" s="157">
        <f>VLOOKUP(E16,Meals!$A$3:$N$142,14,FALSE)</f>
        <v>3606.9571428571426</v>
      </c>
      <c r="G16" s="106" t="s">
        <v>180</v>
      </c>
      <c r="H16" s="106" t="s">
        <v>182</v>
      </c>
    </row>
    <row r="17" spans="1:9" x14ac:dyDescent="0.25">
      <c r="A17" s="19" t="s">
        <v>206</v>
      </c>
      <c r="B17" s="154">
        <v>1</v>
      </c>
      <c r="C17" s="156" t="str">
        <f t="shared" si="0"/>
        <v>C</v>
      </c>
      <c r="D17" s="157">
        <f>VLOOKUP(C17,Meals!$A$3:$H$142,6,FALSE)</f>
        <v>3460.4500000000003</v>
      </c>
      <c r="E17" s="156" t="str">
        <f t="shared" si="1"/>
        <v>E</v>
      </c>
      <c r="F17" s="157">
        <f>VLOOKUP(E17,Meals!$A$3:$N$142,14,FALSE)</f>
        <v>3520.8571428571427</v>
      </c>
      <c r="G17" s="106" t="s">
        <v>181</v>
      </c>
      <c r="H17" s="106" t="s">
        <v>183</v>
      </c>
    </row>
    <row r="18" spans="1:9" x14ac:dyDescent="0.25">
      <c r="A18" s="19" t="s">
        <v>207</v>
      </c>
      <c r="B18" s="154">
        <v>1</v>
      </c>
      <c r="C18" s="156" t="str">
        <f>IF(B18=1,G18,"")</f>
        <v>A</v>
      </c>
      <c r="D18" s="157">
        <f>VLOOKUP(C18,Meals!$A$3:$H$142,6,FALSE)</f>
        <v>3461.73</v>
      </c>
      <c r="E18" s="156" t="str">
        <f t="shared" si="1"/>
        <v>A</v>
      </c>
      <c r="F18" s="157">
        <f>VLOOKUP(E18,Meals!$A$3:$N$142,14,FALSE)</f>
        <v>3645.9571428571426</v>
      </c>
      <c r="G18" s="106" t="s">
        <v>175</v>
      </c>
      <c r="H18" s="106" t="s">
        <v>175</v>
      </c>
      <c r="I18" t="s">
        <v>208</v>
      </c>
    </row>
    <row r="19" spans="1:9" x14ac:dyDescent="0.25">
      <c r="A19" s="19" t="s">
        <v>209</v>
      </c>
      <c r="B19" s="154">
        <v>1</v>
      </c>
      <c r="C19" s="156" t="str">
        <f t="shared" si="0"/>
        <v>B</v>
      </c>
      <c r="D19" s="157">
        <f>VLOOKUP(C19,Meals!$A$3:$H$142,6,FALSE)</f>
        <v>3595.73</v>
      </c>
      <c r="E19" s="156" t="str">
        <f t="shared" si="1"/>
        <v>B</v>
      </c>
      <c r="F19" s="157">
        <f>VLOOKUP(E19,Meals!$A$3:$N$142,14,FALSE)</f>
        <v>3635.8571428571427</v>
      </c>
      <c r="G19" s="106" t="s">
        <v>180</v>
      </c>
      <c r="H19" s="106" t="s">
        <v>180</v>
      </c>
    </row>
    <row r="20" spans="1:9" x14ac:dyDescent="0.25">
      <c r="A20" s="19" t="s">
        <v>210</v>
      </c>
      <c r="B20" s="154">
        <v>1</v>
      </c>
      <c r="C20" s="156" t="str">
        <f t="shared" si="0"/>
        <v>C</v>
      </c>
      <c r="D20" s="157">
        <f>VLOOKUP(C20,Meals!$A$3:$H$142,6,FALSE)</f>
        <v>3460.4500000000003</v>
      </c>
      <c r="E20" s="156" t="str">
        <f t="shared" si="1"/>
        <v>C</v>
      </c>
      <c r="F20" s="157">
        <f>VLOOKUP(E20,Meals!$A$3:$N$142,14,FALSE)</f>
        <v>3520.1571428571428</v>
      </c>
      <c r="G20" s="106" t="s">
        <v>181</v>
      </c>
      <c r="H20" s="106" t="s">
        <v>181</v>
      </c>
    </row>
    <row r="21" spans="1:9" x14ac:dyDescent="0.25">
      <c r="A21" s="19" t="s">
        <v>211</v>
      </c>
      <c r="B21" s="154">
        <v>1</v>
      </c>
      <c r="C21" s="156" t="str">
        <f t="shared" si="0"/>
        <v>A</v>
      </c>
      <c r="D21" s="157">
        <f>VLOOKUP(C21,Meals!$A$3:$H$142,6,FALSE)</f>
        <v>3461.73</v>
      </c>
      <c r="E21" s="156" t="str">
        <f t="shared" si="1"/>
        <v>D</v>
      </c>
      <c r="F21" s="157">
        <f>VLOOKUP(E21,Meals!$A$3:$N$142,14,FALSE)</f>
        <v>3606.9571428571426</v>
      </c>
      <c r="G21" s="106" t="s">
        <v>175</v>
      </c>
      <c r="H21" s="106" t="s">
        <v>182</v>
      </c>
    </row>
    <row r="22" spans="1:9" x14ac:dyDescent="0.25">
      <c r="A22" s="19" t="s">
        <v>212</v>
      </c>
      <c r="B22" s="154">
        <v>1</v>
      </c>
      <c r="C22" s="156" t="str">
        <f t="shared" si="0"/>
        <v>B</v>
      </c>
      <c r="D22" s="157">
        <f>VLOOKUP(C22,Meals!$A$3:$H$142,6,FALSE)</f>
        <v>3595.73</v>
      </c>
      <c r="E22" s="156" t="str">
        <f t="shared" si="1"/>
        <v>E</v>
      </c>
      <c r="F22" s="157">
        <f>VLOOKUP(E22,Meals!$A$3:$N$142,14,FALSE)</f>
        <v>3520.8571428571427</v>
      </c>
      <c r="G22" s="106" t="s">
        <v>180</v>
      </c>
      <c r="H22" s="106" t="s">
        <v>183</v>
      </c>
    </row>
    <row r="23" spans="1:9" x14ac:dyDescent="0.25">
      <c r="A23" s="19" t="s">
        <v>213</v>
      </c>
      <c r="B23" s="154">
        <v>1</v>
      </c>
      <c r="C23" s="156" t="str">
        <f t="shared" si="0"/>
        <v>C</v>
      </c>
      <c r="D23" s="157">
        <f>VLOOKUP(C23,Meals!$A$3:$H$142,6,FALSE)</f>
        <v>3460.4500000000003</v>
      </c>
      <c r="E23" s="156" t="str">
        <f t="shared" si="1"/>
        <v>A</v>
      </c>
      <c r="F23" s="157">
        <f>VLOOKUP(E23,Meals!$A$3:$N$142,14,FALSE)</f>
        <v>3645.9571428571426</v>
      </c>
      <c r="G23" s="106" t="s">
        <v>181</v>
      </c>
      <c r="H23" s="106" t="s">
        <v>175</v>
      </c>
      <c r="I23" t="s">
        <v>214</v>
      </c>
    </row>
    <row r="24" spans="1:9" x14ac:dyDescent="0.25">
      <c r="A24" s="19" t="s">
        <v>215</v>
      </c>
      <c r="B24" s="154">
        <v>1</v>
      </c>
      <c r="C24" s="156" t="str">
        <f t="shared" si="0"/>
        <v>A</v>
      </c>
      <c r="D24" s="157">
        <f>VLOOKUP(C24,Meals!$A$3:$H$142,6,FALSE)</f>
        <v>3461.73</v>
      </c>
      <c r="E24" s="156" t="str">
        <f t="shared" si="1"/>
        <v>B</v>
      </c>
      <c r="F24" s="157">
        <f>VLOOKUP(E24,Meals!$A$3:$N$142,14,FALSE)</f>
        <v>3635.8571428571427</v>
      </c>
      <c r="G24" s="106" t="s">
        <v>175</v>
      </c>
      <c r="H24" s="106" t="s">
        <v>180</v>
      </c>
    </row>
    <row r="25" spans="1:9" x14ac:dyDescent="0.25">
      <c r="A25" s="19" t="s">
        <v>216</v>
      </c>
      <c r="B25" s="154">
        <v>1</v>
      </c>
      <c r="C25" s="156" t="str">
        <f t="shared" si="0"/>
        <v>B</v>
      </c>
      <c r="D25" s="157">
        <f>VLOOKUP(C25,Meals!$A$3:$H$142,6,FALSE)</f>
        <v>3595.73</v>
      </c>
      <c r="E25" s="156" t="str">
        <f t="shared" si="1"/>
        <v>C</v>
      </c>
      <c r="F25" s="157">
        <f>VLOOKUP(E25,Meals!$A$3:$N$142,14,FALSE)</f>
        <v>3520.1571428571428</v>
      </c>
      <c r="G25" s="106" t="s">
        <v>180</v>
      </c>
      <c r="H25" s="106" t="s">
        <v>181</v>
      </c>
    </row>
    <row r="26" spans="1:9" x14ac:dyDescent="0.25">
      <c r="A26" s="19" t="s">
        <v>217</v>
      </c>
      <c r="B26" s="154">
        <v>1</v>
      </c>
      <c r="C26" s="156" t="str">
        <f t="shared" si="0"/>
        <v>C</v>
      </c>
      <c r="D26" s="157">
        <f>VLOOKUP(C26,Meals!$A$3:$H$142,6,FALSE)</f>
        <v>3460.4500000000003</v>
      </c>
      <c r="E26" s="156" t="str">
        <f t="shared" si="1"/>
        <v>D</v>
      </c>
      <c r="F26" s="157">
        <f>VLOOKUP(E26,Meals!$A$3:$N$142,14,FALSE)</f>
        <v>3606.9571428571426</v>
      </c>
      <c r="G26" s="106" t="s">
        <v>181</v>
      </c>
      <c r="H26" s="106" t="s">
        <v>182</v>
      </c>
    </row>
    <row r="27" spans="1:9" x14ac:dyDescent="0.25">
      <c r="A27" s="19" t="s">
        <v>218</v>
      </c>
      <c r="B27" s="154">
        <v>1</v>
      </c>
      <c r="C27" s="156" t="str">
        <f t="shared" si="0"/>
        <v>A</v>
      </c>
      <c r="D27" s="157">
        <f>VLOOKUP(C27,Meals!$A$3:$H$142,6,FALSE)</f>
        <v>3461.73</v>
      </c>
      <c r="E27" s="156" t="str">
        <f t="shared" si="1"/>
        <v>E</v>
      </c>
      <c r="F27" s="157">
        <f>VLOOKUP(E27,Meals!$A$3:$N$142,14,FALSE)</f>
        <v>3520.8571428571427</v>
      </c>
      <c r="G27" s="106" t="s">
        <v>175</v>
      </c>
      <c r="H27" s="106" t="s">
        <v>183</v>
      </c>
    </row>
    <row r="28" spans="1:9" x14ac:dyDescent="0.25">
      <c r="A28" s="19" t="s">
        <v>219</v>
      </c>
      <c r="B28" s="154">
        <v>1</v>
      </c>
      <c r="C28" s="156" t="str">
        <f t="shared" si="0"/>
        <v>B</v>
      </c>
      <c r="D28" s="157">
        <f>VLOOKUP(C28,Meals!$A$3:$H$142,6,FALSE)</f>
        <v>3595.73</v>
      </c>
      <c r="E28" s="156" t="str">
        <f t="shared" si="1"/>
        <v>A</v>
      </c>
      <c r="F28" s="157">
        <f>VLOOKUP(E28,Meals!$A$3:$N$142,14,FALSE)</f>
        <v>3645.9571428571426</v>
      </c>
      <c r="G28" s="106" t="s">
        <v>180</v>
      </c>
      <c r="H28" s="106" t="s">
        <v>175</v>
      </c>
      <c r="I28" t="s">
        <v>220</v>
      </c>
    </row>
    <row r="29" spans="1:9" x14ac:dyDescent="0.25">
      <c r="A29" s="19" t="s">
        <v>221</v>
      </c>
      <c r="B29" s="154">
        <v>1</v>
      </c>
      <c r="C29" s="156" t="str">
        <f t="shared" si="0"/>
        <v>C</v>
      </c>
      <c r="D29" s="157">
        <f>VLOOKUP(C29,Meals!$A$3:$H$142,6,FALSE)</f>
        <v>3460.4500000000003</v>
      </c>
      <c r="E29" s="156" t="str">
        <f t="shared" si="1"/>
        <v>B</v>
      </c>
      <c r="F29" s="157">
        <f>VLOOKUP(E29,Meals!$A$3:$N$142,14,FALSE)</f>
        <v>3635.8571428571427</v>
      </c>
      <c r="G29" s="106" t="s">
        <v>181</v>
      </c>
      <c r="H29" s="106" t="s">
        <v>180</v>
      </c>
    </row>
    <row r="30" spans="1:9" x14ac:dyDescent="0.25">
      <c r="A30" s="19" t="s">
        <v>222</v>
      </c>
      <c r="B30" s="154">
        <v>1</v>
      </c>
      <c r="C30" s="156" t="str">
        <f t="shared" si="0"/>
        <v>A</v>
      </c>
      <c r="D30" s="157">
        <f>VLOOKUP(C30,Meals!$A$3:$H$142,6,FALSE)</f>
        <v>3461.73</v>
      </c>
      <c r="E30" s="156" t="str">
        <f t="shared" si="1"/>
        <v>C</v>
      </c>
      <c r="F30" s="157">
        <f>VLOOKUP(E30,Meals!$A$3:$N$142,14,FALSE)</f>
        <v>3520.1571428571428</v>
      </c>
      <c r="G30" s="106" t="s">
        <v>175</v>
      </c>
      <c r="H30" s="106" t="s">
        <v>181</v>
      </c>
    </row>
    <row r="31" spans="1:9" x14ac:dyDescent="0.25">
      <c r="A31" s="19" t="s">
        <v>223</v>
      </c>
      <c r="B31" s="154">
        <v>1</v>
      </c>
      <c r="C31" s="156" t="str">
        <f t="shared" si="0"/>
        <v>B</v>
      </c>
      <c r="D31" s="157">
        <f>VLOOKUP(C31,Meals!$A$3:$H$142,6,FALSE)</f>
        <v>3595.73</v>
      </c>
      <c r="E31" s="156" t="str">
        <f t="shared" si="1"/>
        <v>D</v>
      </c>
      <c r="F31" s="157">
        <f>VLOOKUP(E31,Meals!$A$3:$N$142,14,FALSE)</f>
        <v>3606.9571428571426</v>
      </c>
      <c r="G31" s="106" t="s">
        <v>180</v>
      </c>
      <c r="H31" s="106" t="s">
        <v>182</v>
      </c>
    </row>
    <row r="32" spans="1:9" x14ac:dyDescent="0.25">
      <c r="A32" s="19" t="s">
        <v>224</v>
      </c>
      <c r="B32" s="154">
        <v>1</v>
      </c>
      <c r="C32" s="156" t="str">
        <f t="shared" si="0"/>
        <v>C</v>
      </c>
      <c r="D32" s="157">
        <f>VLOOKUP(C32,Meals!$A$3:$H$142,6,FALSE)</f>
        <v>3460.4500000000003</v>
      </c>
      <c r="E32" s="156" t="str">
        <f t="shared" si="1"/>
        <v>E</v>
      </c>
      <c r="F32" s="157">
        <f>VLOOKUP(E32,Meals!$A$3:$N$142,14,FALSE)</f>
        <v>3520.8571428571427</v>
      </c>
      <c r="G32" s="106" t="s">
        <v>181</v>
      </c>
      <c r="H32" s="106" t="s">
        <v>183</v>
      </c>
      <c r="I32" t="s">
        <v>225</v>
      </c>
    </row>
    <row r="33" spans="1:9" x14ac:dyDescent="0.25">
      <c r="A33" s="19" t="s">
        <v>226</v>
      </c>
      <c r="B33" s="154">
        <v>1</v>
      </c>
      <c r="C33" s="156" t="str">
        <f t="shared" si="0"/>
        <v>A</v>
      </c>
      <c r="D33" s="157">
        <f>VLOOKUP(C33,Meals!$A$3:$H$142,6,FALSE)</f>
        <v>3461.73</v>
      </c>
      <c r="E33" s="156" t="str">
        <f t="shared" si="1"/>
        <v>A</v>
      </c>
      <c r="F33" s="157">
        <f>VLOOKUP(E33,Meals!$A$3:$N$142,14,FALSE)</f>
        <v>3645.9571428571426</v>
      </c>
      <c r="G33" s="106" t="s">
        <v>175</v>
      </c>
      <c r="H33" s="106" t="s">
        <v>175</v>
      </c>
    </row>
    <row r="34" spans="1:9" x14ac:dyDescent="0.25">
      <c r="A34" s="19" t="s">
        <v>227</v>
      </c>
      <c r="B34" s="154">
        <v>1</v>
      </c>
      <c r="C34" s="156" t="str">
        <f t="shared" si="0"/>
        <v>B</v>
      </c>
      <c r="D34" s="157">
        <f>VLOOKUP(C34,Meals!$A$3:$H$142,6,FALSE)</f>
        <v>3595.73</v>
      </c>
      <c r="E34" s="156" t="str">
        <f t="shared" si="1"/>
        <v>B</v>
      </c>
      <c r="F34" s="157">
        <f>VLOOKUP(E34,Meals!$A$3:$N$142,14,FALSE)</f>
        <v>3635.8571428571427</v>
      </c>
      <c r="G34" s="106" t="s">
        <v>180</v>
      </c>
      <c r="H34" s="106" t="s">
        <v>180</v>
      </c>
    </row>
    <row r="35" spans="1:9" x14ac:dyDescent="0.25">
      <c r="A35" s="19" t="s">
        <v>228</v>
      </c>
      <c r="B35" s="154">
        <v>1</v>
      </c>
      <c r="C35" s="156" t="str">
        <f t="shared" si="0"/>
        <v>C</v>
      </c>
      <c r="D35" s="157">
        <f>VLOOKUP(C35,Meals!$A$3:$H$142,6,FALSE)</f>
        <v>3460.4500000000003</v>
      </c>
      <c r="E35" s="156" t="str">
        <f t="shared" si="1"/>
        <v>C</v>
      </c>
      <c r="F35" s="157">
        <f>VLOOKUP(E35,Meals!$A$3:$N$142,14,FALSE)</f>
        <v>3520.1571428571428</v>
      </c>
      <c r="G35" s="106" t="s">
        <v>181</v>
      </c>
      <c r="H35" s="106" t="s">
        <v>181</v>
      </c>
    </row>
    <row r="36" spans="1:9" x14ac:dyDescent="0.25">
      <c r="A36" s="19" t="s">
        <v>229</v>
      </c>
      <c r="B36" s="154">
        <v>1</v>
      </c>
      <c r="C36" s="156" t="str">
        <f t="shared" si="0"/>
        <v>A</v>
      </c>
      <c r="D36" s="157">
        <f>VLOOKUP(C36,Meals!$A$3:$H$142,6,FALSE)</f>
        <v>3461.73</v>
      </c>
      <c r="E36" s="156" t="str">
        <f t="shared" si="1"/>
        <v>D</v>
      </c>
      <c r="F36" s="157">
        <f>VLOOKUP(E36,Meals!$A$3:$N$142,14,FALSE)</f>
        <v>3606.9571428571426</v>
      </c>
      <c r="G36" s="106" t="s">
        <v>175</v>
      </c>
      <c r="H36" s="106" t="s">
        <v>182</v>
      </c>
    </row>
    <row r="37" spans="1:9" x14ac:dyDescent="0.25">
      <c r="A37" s="19" t="s">
        <v>230</v>
      </c>
      <c r="B37" s="154">
        <v>1</v>
      </c>
      <c r="C37" s="156" t="str">
        <f t="shared" si="0"/>
        <v>B</v>
      </c>
      <c r="D37" s="157">
        <f>VLOOKUP(C37,Meals!$A$3:$H$142,6,FALSE)</f>
        <v>3595.73</v>
      </c>
      <c r="E37" s="156" t="str">
        <f t="shared" si="1"/>
        <v>E</v>
      </c>
      <c r="F37" s="157">
        <f>VLOOKUP(E37,Meals!$A$3:$N$142,14,FALSE)</f>
        <v>3520.8571428571427</v>
      </c>
      <c r="G37" s="106" t="s">
        <v>180</v>
      </c>
      <c r="H37" s="106" t="s">
        <v>183</v>
      </c>
    </row>
    <row r="38" spans="1:9" x14ac:dyDescent="0.25">
      <c r="A38" s="19" t="s">
        <v>231</v>
      </c>
      <c r="B38" s="154">
        <v>1</v>
      </c>
      <c r="C38" s="156" t="str">
        <f t="shared" si="0"/>
        <v>C</v>
      </c>
      <c r="D38" s="157">
        <f>VLOOKUP(C38,Meals!$A$3:$H$142,6,FALSE)</f>
        <v>3460.4500000000003</v>
      </c>
      <c r="E38" s="156" t="str">
        <f t="shared" si="1"/>
        <v>A</v>
      </c>
      <c r="F38" s="157">
        <f>VLOOKUP(E38,Meals!$A$3:$N$142,14,FALSE)</f>
        <v>3645.9571428571426</v>
      </c>
      <c r="G38" s="106" t="s">
        <v>181</v>
      </c>
      <c r="H38" s="106" t="s">
        <v>175</v>
      </c>
    </row>
    <row r="39" spans="1:9" x14ac:dyDescent="0.25">
      <c r="A39" s="19" t="s">
        <v>232</v>
      </c>
      <c r="B39" s="154">
        <v>1</v>
      </c>
      <c r="C39" s="156" t="str">
        <f t="shared" si="0"/>
        <v>A</v>
      </c>
      <c r="D39" s="157">
        <f>VLOOKUP(C39,Meals!$A$3:$H$142,6,FALSE)</f>
        <v>3461.73</v>
      </c>
      <c r="E39" s="156" t="str">
        <f t="shared" si="1"/>
        <v>B</v>
      </c>
      <c r="F39" s="157">
        <f>VLOOKUP(E39,Meals!$A$3:$N$142,14,FALSE)</f>
        <v>3635.8571428571427</v>
      </c>
      <c r="G39" s="106" t="s">
        <v>175</v>
      </c>
      <c r="H39" s="106" t="s">
        <v>180</v>
      </c>
      <c r="I39" t="s">
        <v>233</v>
      </c>
    </row>
    <row r="40" spans="1:9" x14ac:dyDescent="0.25">
      <c r="A40" s="19" t="s">
        <v>234</v>
      </c>
      <c r="B40" s="154">
        <v>1</v>
      </c>
      <c r="C40" s="156" t="str">
        <f t="shared" si="0"/>
        <v>B</v>
      </c>
      <c r="D40" s="157">
        <f>VLOOKUP(C40,Meals!$A$3:$H$142,6,FALSE)</f>
        <v>3595.73</v>
      </c>
      <c r="E40" s="156" t="str">
        <f t="shared" si="1"/>
        <v>C</v>
      </c>
      <c r="F40" s="157">
        <f>VLOOKUP(E40,Meals!$A$3:$N$142,14,FALSE)</f>
        <v>3520.1571428571428</v>
      </c>
      <c r="G40" s="106" t="s">
        <v>180</v>
      </c>
      <c r="H40" s="106" t="s">
        <v>181</v>
      </c>
    </row>
    <row r="41" spans="1:9" x14ac:dyDescent="0.25">
      <c r="A41" s="19" t="s">
        <v>235</v>
      </c>
      <c r="B41" s="154">
        <v>1</v>
      </c>
      <c r="C41" s="156" t="str">
        <f t="shared" si="0"/>
        <v>C</v>
      </c>
      <c r="D41" s="157">
        <f>VLOOKUP(C41,Meals!$A$3:$H$142,6,FALSE)</f>
        <v>3460.4500000000003</v>
      </c>
      <c r="E41" s="156" t="str">
        <f t="shared" si="1"/>
        <v>D</v>
      </c>
      <c r="F41" s="157">
        <f>VLOOKUP(E41,Meals!$A$3:$N$142,14,FALSE)</f>
        <v>3606.9571428571426</v>
      </c>
      <c r="G41" s="106" t="s">
        <v>181</v>
      </c>
      <c r="H41" s="106" t="s">
        <v>182</v>
      </c>
    </row>
    <row r="42" spans="1:9" x14ac:dyDescent="0.25">
      <c r="A42" s="19" t="s">
        <v>236</v>
      </c>
      <c r="B42" s="154">
        <v>1</v>
      </c>
      <c r="C42" s="156" t="str">
        <f t="shared" si="0"/>
        <v>A</v>
      </c>
      <c r="D42" s="157">
        <f>VLOOKUP(C42,Meals!$A$3:$H$142,6,FALSE)</f>
        <v>3461.73</v>
      </c>
      <c r="E42" s="156" t="str">
        <f t="shared" si="1"/>
        <v>E</v>
      </c>
      <c r="F42" s="157">
        <f>VLOOKUP(E42,Meals!$A$3:$N$142,14,FALSE)</f>
        <v>3520.8571428571427</v>
      </c>
      <c r="G42" s="106" t="s">
        <v>175</v>
      </c>
      <c r="H42" s="106" t="s">
        <v>183</v>
      </c>
    </row>
    <row r="43" spans="1:9" x14ac:dyDescent="0.25">
      <c r="A43" s="19" t="s">
        <v>237</v>
      </c>
      <c r="B43" s="154">
        <v>1</v>
      </c>
      <c r="C43" s="156" t="str">
        <f t="shared" si="0"/>
        <v>B</v>
      </c>
      <c r="D43" s="157">
        <f>VLOOKUP(C43,Meals!$A$3:$H$142,6,FALSE)</f>
        <v>3595.73</v>
      </c>
      <c r="E43" s="156" t="str">
        <f t="shared" si="1"/>
        <v>A</v>
      </c>
      <c r="F43" s="157">
        <f>VLOOKUP(E43,Meals!$A$3:$N$142,14,FALSE)</f>
        <v>3645.9571428571426</v>
      </c>
      <c r="G43" s="106" t="s">
        <v>180</v>
      </c>
      <c r="H43" s="106" t="s">
        <v>175</v>
      </c>
    </row>
    <row r="44" spans="1:9" x14ac:dyDescent="0.25">
      <c r="A44" s="19" t="s">
        <v>238</v>
      </c>
      <c r="B44" s="154">
        <v>1</v>
      </c>
      <c r="C44" s="156" t="str">
        <f t="shared" si="0"/>
        <v>C</v>
      </c>
      <c r="D44" s="157">
        <f>VLOOKUP(C44,Meals!$A$3:$H$142,6,FALSE)</f>
        <v>3460.4500000000003</v>
      </c>
      <c r="E44" s="156" t="str">
        <f t="shared" si="1"/>
        <v>B</v>
      </c>
      <c r="F44" s="157">
        <f>VLOOKUP(E44,Meals!$A$3:$N$142,14,FALSE)</f>
        <v>3635.8571428571427</v>
      </c>
      <c r="G44" s="106" t="s">
        <v>181</v>
      </c>
      <c r="H44" s="106" t="s">
        <v>180</v>
      </c>
    </row>
    <row r="45" spans="1:9" x14ac:dyDescent="0.25">
      <c r="A45" s="19" t="s">
        <v>239</v>
      </c>
      <c r="B45" s="154">
        <v>1</v>
      </c>
      <c r="C45" s="156" t="str">
        <f t="shared" si="0"/>
        <v>A</v>
      </c>
      <c r="D45" s="157">
        <f>VLOOKUP(C45,Meals!$A$3:$H$142,6,FALSE)</f>
        <v>3461.73</v>
      </c>
      <c r="E45" s="156" t="str">
        <f t="shared" si="1"/>
        <v>C</v>
      </c>
      <c r="F45" s="157">
        <f>VLOOKUP(E45,Meals!$A$3:$N$142,14,FALSE)</f>
        <v>3520.1571428571428</v>
      </c>
      <c r="G45" s="106" t="s">
        <v>175</v>
      </c>
      <c r="H45" s="106" t="s">
        <v>181</v>
      </c>
    </row>
    <row r="46" spans="1:9" x14ac:dyDescent="0.25">
      <c r="A46" s="19" t="s">
        <v>240</v>
      </c>
      <c r="B46" s="154">
        <v>1</v>
      </c>
      <c r="C46" s="156" t="str">
        <f t="shared" si="0"/>
        <v>B</v>
      </c>
      <c r="D46" s="157">
        <f>VLOOKUP(C46,Meals!$A$3:$H$142,6,FALSE)</f>
        <v>3595.73</v>
      </c>
      <c r="E46" s="156" t="str">
        <f t="shared" si="1"/>
        <v>D</v>
      </c>
      <c r="F46" s="157">
        <f>VLOOKUP(E46,Meals!$A$3:$N$142,14,FALSE)</f>
        <v>3606.9571428571426</v>
      </c>
      <c r="G46" s="106" t="s">
        <v>180</v>
      </c>
      <c r="H46" s="106" t="s">
        <v>182</v>
      </c>
    </row>
    <row r="47" spans="1:9" x14ac:dyDescent="0.25">
      <c r="A47" s="19" t="s">
        <v>241</v>
      </c>
      <c r="B47" s="154">
        <v>1</v>
      </c>
      <c r="C47" s="156" t="str">
        <f t="shared" si="0"/>
        <v>C</v>
      </c>
      <c r="D47" s="157">
        <f>VLOOKUP(C47,Meals!$A$3:$H$142,6,FALSE)</f>
        <v>3460.4500000000003</v>
      </c>
      <c r="E47" s="156" t="str">
        <f t="shared" si="1"/>
        <v>E</v>
      </c>
      <c r="F47" s="157">
        <f>VLOOKUP(E47,Meals!$A$3:$N$142,14,FALSE)</f>
        <v>3520.8571428571427</v>
      </c>
      <c r="G47" s="106" t="s">
        <v>181</v>
      </c>
      <c r="H47" s="106" t="s">
        <v>183</v>
      </c>
    </row>
    <row r="48" spans="1:9" x14ac:dyDescent="0.25">
      <c r="A48" s="19" t="s">
        <v>242</v>
      </c>
      <c r="B48" s="154">
        <v>1</v>
      </c>
      <c r="C48" s="156" t="str">
        <f t="shared" si="0"/>
        <v>A</v>
      </c>
      <c r="D48" s="157">
        <f>VLOOKUP(C48,Meals!$A$3:$H$142,6,FALSE)</f>
        <v>3461.73</v>
      </c>
      <c r="E48" s="156" t="str">
        <f t="shared" si="1"/>
        <v>A</v>
      </c>
      <c r="F48" s="157">
        <f>VLOOKUP(E48,Meals!$A$3:$N$142,14,FALSE)</f>
        <v>3645.9571428571426</v>
      </c>
      <c r="G48" s="106" t="s">
        <v>175</v>
      </c>
      <c r="H48" s="106" t="s">
        <v>175</v>
      </c>
    </row>
    <row r="49" spans="1:8" x14ac:dyDescent="0.25">
      <c r="A49" s="19" t="s">
        <v>243</v>
      </c>
      <c r="B49" s="154">
        <v>1</v>
      </c>
      <c r="C49" s="156" t="str">
        <f t="shared" si="0"/>
        <v>B</v>
      </c>
      <c r="D49" s="157">
        <f>VLOOKUP(C49,Meals!$A$3:$H$142,6,FALSE)</f>
        <v>3595.73</v>
      </c>
      <c r="E49" s="156" t="str">
        <f t="shared" si="1"/>
        <v>B</v>
      </c>
      <c r="F49" s="157">
        <f>VLOOKUP(E49,Meals!$A$3:$N$142,14,FALSE)</f>
        <v>3635.8571428571427</v>
      </c>
      <c r="G49" s="106" t="s">
        <v>180</v>
      </c>
      <c r="H49" s="106" t="s">
        <v>180</v>
      </c>
    </row>
    <row r="50" spans="1:8" x14ac:dyDescent="0.25">
      <c r="A50" s="19" t="s">
        <v>244</v>
      </c>
      <c r="B50" s="154">
        <v>0</v>
      </c>
      <c r="C50" s="156" t="str">
        <f t="shared" si="0"/>
        <v/>
      </c>
      <c r="D50" s="157" t="e">
        <f>VLOOKUP(C50,Meals!$A$3:$H$142,6,FALSE)</f>
        <v>#N/A</v>
      </c>
      <c r="E50" s="156" t="str">
        <f t="shared" si="1"/>
        <v/>
      </c>
      <c r="F50" s="157" t="e">
        <f>VLOOKUP(E50,Meals!$A$3:$N$142,14,FALSE)</f>
        <v>#N/A</v>
      </c>
      <c r="G50" s="106" t="s">
        <v>181</v>
      </c>
      <c r="H50" s="106" t="s">
        <v>181</v>
      </c>
    </row>
    <row r="51" spans="1:8" x14ac:dyDescent="0.25">
      <c r="A51" s="19" t="s">
        <v>245</v>
      </c>
      <c r="B51" s="154">
        <v>0</v>
      </c>
      <c r="C51" s="156" t="str">
        <f t="shared" si="0"/>
        <v/>
      </c>
      <c r="D51" s="157" t="e">
        <f>VLOOKUP(C51,Meals!$A$3:$H$142,6,FALSE)</f>
        <v>#N/A</v>
      </c>
      <c r="E51" s="156" t="str">
        <f t="shared" si="1"/>
        <v/>
      </c>
      <c r="F51" s="157" t="e">
        <f>VLOOKUP(E51,Meals!$A$3:$N$142,14,FALSE)</f>
        <v>#N/A</v>
      </c>
      <c r="G51" s="106" t="s">
        <v>175</v>
      </c>
      <c r="H51" s="106" t="s">
        <v>182</v>
      </c>
    </row>
    <row r="52" spans="1:8" x14ac:dyDescent="0.25">
      <c r="A52" s="19" t="s">
        <v>246</v>
      </c>
      <c r="B52" s="154">
        <v>0</v>
      </c>
      <c r="C52" s="156" t="str">
        <f t="shared" si="0"/>
        <v/>
      </c>
      <c r="D52" s="157" t="e">
        <f>VLOOKUP(C52,Meals!$A$3:$H$142,6,FALSE)</f>
        <v>#N/A</v>
      </c>
      <c r="E52" s="156" t="str">
        <f t="shared" si="1"/>
        <v/>
      </c>
      <c r="F52" s="157" t="e">
        <f>VLOOKUP(E52,Meals!$A$3:$N$142,14,FALSE)</f>
        <v>#N/A</v>
      </c>
      <c r="G52" s="106" t="s">
        <v>180</v>
      </c>
      <c r="H52" s="106" t="s">
        <v>183</v>
      </c>
    </row>
    <row r="53" spans="1:8" x14ac:dyDescent="0.25">
      <c r="A53" s="19" t="s">
        <v>247</v>
      </c>
      <c r="B53" s="154">
        <v>0</v>
      </c>
      <c r="C53" s="156" t="str">
        <f t="shared" si="0"/>
        <v/>
      </c>
      <c r="D53" s="157" t="e">
        <f>VLOOKUP(C53,Meals!$A$3:$H$142,6,FALSE)</f>
        <v>#N/A</v>
      </c>
      <c r="E53" s="156" t="str">
        <f t="shared" si="1"/>
        <v/>
      </c>
      <c r="F53" s="157" t="e">
        <f>VLOOKUP(E53,Meals!$A$3:$N$142,14,FALSE)</f>
        <v>#N/A</v>
      </c>
      <c r="G53" s="106" t="s">
        <v>181</v>
      </c>
      <c r="H53" s="106" t="s">
        <v>175</v>
      </c>
    </row>
    <row r="54" spans="1:8" x14ac:dyDescent="0.25">
      <c r="A54" s="19" t="s">
        <v>248</v>
      </c>
      <c r="B54" s="154">
        <v>0</v>
      </c>
      <c r="C54" s="156" t="str">
        <f t="shared" si="0"/>
        <v/>
      </c>
      <c r="D54" s="157" t="e">
        <f>VLOOKUP(C54,Meals!$A$3:$H$142,6,FALSE)</f>
        <v>#N/A</v>
      </c>
      <c r="E54" s="156" t="str">
        <f t="shared" si="1"/>
        <v/>
      </c>
      <c r="F54" s="157" t="e">
        <f>VLOOKUP(E54,Meals!$A$3:$N$142,14,FALSE)</f>
        <v>#N/A</v>
      </c>
      <c r="G54" s="106" t="s">
        <v>175</v>
      </c>
      <c r="H54" s="106" t="s">
        <v>180</v>
      </c>
    </row>
    <row r="55" spans="1:8" x14ac:dyDescent="0.25">
      <c r="A55" s="19" t="s">
        <v>249</v>
      </c>
      <c r="B55" s="154">
        <v>0</v>
      </c>
      <c r="C55" s="156" t="str">
        <f t="shared" si="0"/>
        <v/>
      </c>
      <c r="D55" s="157" t="e">
        <f>VLOOKUP(C55,Meals!$A$3:$H$142,6,FALSE)</f>
        <v>#N/A</v>
      </c>
      <c r="E55" s="156" t="str">
        <f t="shared" si="1"/>
        <v/>
      </c>
      <c r="F55" s="157" t="e">
        <f>VLOOKUP(E55,Meals!$A$3:$N$142,14,FALSE)</f>
        <v>#N/A</v>
      </c>
      <c r="G55" s="106" t="s">
        <v>180</v>
      </c>
      <c r="H55" s="106" t="s">
        <v>181</v>
      </c>
    </row>
    <row r="56" spans="1:8" x14ac:dyDescent="0.25">
      <c r="A56" s="19" t="s">
        <v>250</v>
      </c>
      <c r="B56" s="154">
        <v>0</v>
      </c>
      <c r="C56" s="156" t="str">
        <f t="shared" si="0"/>
        <v/>
      </c>
      <c r="D56" s="157" t="e">
        <f>VLOOKUP(C56,Meals!$A$3:$H$142,6,FALSE)</f>
        <v>#N/A</v>
      </c>
      <c r="E56" s="156" t="str">
        <f t="shared" si="1"/>
        <v/>
      </c>
      <c r="F56" s="157" t="e">
        <f>VLOOKUP(E56,Meals!$A$3:$N$142,14,FALSE)</f>
        <v>#N/A</v>
      </c>
      <c r="G56" s="106" t="s">
        <v>181</v>
      </c>
      <c r="H56" s="106" t="s">
        <v>182</v>
      </c>
    </row>
    <row r="57" spans="1:8" x14ac:dyDescent="0.25">
      <c r="A57" s="19" t="s">
        <v>251</v>
      </c>
      <c r="B57" s="154">
        <v>0</v>
      </c>
      <c r="C57" s="156" t="str">
        <f t="shared" si="0"/>
        <v/>
      </c>
      <c r="D57" s="157" t="e">
        <f>VLOOKUP(C57,Meals!$A$3:$H$142,6,FALSE)</f>
        <v>#N/A</v>
      </c>
      <c r="E57" s="156" t="str">
        <f t="shared" si="1"/>
        <v/>
      </c>
      <c r="F57" s="157" t="e">
        <f>VLOOKUP(E57,Meals!$A$3:$N$142,14,FALSE)</f>
        <v>#N/A</v>
      </c>
      <c r="G57" s="106" t="s">
        <v>175</v>
      </c>
      <c r="H57" s="106" t="s">
        <v>183</v>
      </c>
    </row>
    <row r="58" spans="1:8" x14ac:dyDescent="0.25">
      <c r="A58" s="19" t="s">
        <v>252</v>
      </c>
      <c r="B58" s="154">
        <v>0</v>
      </c>
      <c r="C58" s="156"/>
      <c r="D58" s="157" t="e">
        <f>VLOOKUP(C58,Meals!$A$3:$H$142,6,FALSE)</f>
        <v>#N/A</v>
      </c>
      <c r="E58" s="156"/>
      <c r="F58" s="157" t="e">
        <f>VLOOKUP(E58,Meals!$A$3:$N$142,14,FALSE)</f>
        <v>#N/A</v>
      </c>
      <c r="G58" s="106"/>
      <c r="H58" s="106"/>
    </row>
    <row r="59" spans="1:8" ht="15.75" thickBot="1" x14ac:dyDescent="0.3">
      <c r="A59" s="19" t="s">
        <v>253</v>
      </c>
      <c r="B59" s="155">
        <v>0</v>
      </c>
      <c r="C59" s="156"/>
      <c r="D59" s="157" t="e">
        <f>VLOOKUP(C59,Meals!$A$3:$H$142,6,FALSE)</f>
        <v>#N/A</v>
      </c>
      <c r="E59" s="156"/>
      <c r="F59" s="157" t="e">
        <f>VLOOKUP(E59,Meals!$A$3:$N$142,14,FALSE)</f>
        <v>#N/A</v>
      </c>
      <c r="G59" s="106"/>
      <c r="H59" s="106"/>
    </row>
    <row r="63" spans="1:8" x14ac:dyDescent="0.25">
      <c r="A63" s="3"/>
    </row>
  </sheetData>
  <mergeCells count="4">
    <mergeCell ref="A1:A2"/>
    <mergeCell ref="B1:B2"/>
    <mergeCell ref="C1:F1"/>
    <mergeCell ref="G1:H1"/>
  </mergeCells>
  <pageMargins left="0.7" right="0.7" top="0.75" bottom="0.75" header="0.3" footer="0.3"/>
  <pageSetup orientation="portrait" horizontalDpi="4294967293" verticalDpi="18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86"/>
  <sheetViews>
    <sheetView workbookViewId="0">
      <pane ySplit="1" topLeftCell="A48" activePane="bottomLeft" state="frozen"/>
      <selection activeCell="B1" sqref="B1"/>
      <selection pane="bottomLeft" activeCell="B1" sqref="B1"/>
    </sheetView>
  </sheetViews>
  <sheetFormatPr defaultColWidth="9.140625" defaultRowHeight="15" x14ac:dyDescent="0.25"/>
  <cols>
    <col min="1" max="1" width="29.5703125" style="91" customWidth="1"/>
    <col min="2" max="2" width="11.85546875" style="109" customWidth="1"/>
    <col min="3" max="3" width="11.85546875" style="91" hidden="1" customWidth="1"/>
    <col min="4" max="4" width="29.5703125" style="91" customWidth="1"/>
    <col min="5" max="5" width="25.140625" style="91" customWidth="1"/>
    <col min="6" max="6" width="37.42578125" style="103" customWidth="1"/>
    <col min="7" max="8" width="9.140625" style="91"/>
    <col min="9" max="9" width="13.140625" style="91" customWidth="1"/>
    <col min="10" max="10" width="13.28515625" style="91" customWidth="1"/>
    <col min="11" max="11" width="6.85546875" style="91" customWidth="1"/>
    <col min="12" max="12" width="14.140625" style="91" customWidth="1"/>
    <col min="13" max="13" width="10.28515625" style="91" customWidth="1"/>
    <col min="14" max="14" width="13.140625" style="91" customWidth="1"/>
    <col min="15" max="15" width="12.5703125" style="104" customWidth="1"/>
    <col min="16" max="16" width="9.140625" style="91"/>
    <col min="17" max="17" width="11.140625" style="91" customWidth="1"/>
    <col min="18" max="16384" width="9.140625" style="91"/>
  </cols>
  <sheetData>
    <row r="1" spans="1:17" ht="45" x14ac:dyDescent="0.25">
      <c r="A1" s="60" t="s">
        <v>254</v>
      </c>
      <c r="B1" s="60" t="s">
        <v>255</v>
      </c>
      <c r="C1" s="60" t="s">
        <v>256</v>
      </c>
      <c r="D1" s="60" t="s">
        <v>257</v>
      </c>
      <c r="E1" s="60" t="s">
        <v>258</v>
      </c>
      <c r="F1" s="62" t="s">
        <v>259</v>
      </c>
      <c r="G1" s="60" t="s">
        <v>260</v>
      </c>
      <c r="H1" s="60" t="s">
        <v>110</v>
      </c>
      <c r="I1" s="60" t="s">
        <v>261</v>
      </c>
      <c r="J1" s="60" t="s">
        <v>262</v>
      </c>
      <c r="K1" s="61" t="s">
        <v>263</v>
      </c>
      <c r="L1" s="62" t="s">
        <v>264</v>
      </c>
      <c r="M1" s="62" t="s">
        <v>265</v>
      </c>
      <c r="N1" s="63" t="s">
        <v>266</v>
      </c>
      <c r="O1" s="64" t="s">
        <v>16</v>
      </c>
    </row>
    <row r="2" spans="1:17" ht="30" x14ac:dyDescent="0.25">
      <c r="A2" s="92" t="s">
        <v>20</v>
      </c>
      <c r="B2" s="106"/>
      <c r="C2" s="92" t="str">
        <f>CONCATENATE(A2,"-",B2)</f>
        <v>Foil Pack Tuna-</v>
      </c>
      <c r="D2" s="92" t="s">
        <v>267</v>
      </c>
      <c r="E2" s="92" t="s">
        <v>268</v>
      </c>
      <c r="F2" s="93" t="s">
        <v>269</v>
      </c>
      <c r="G2" s="14" t="s">
        <v>270</v>
      </c>
      <c r="H2" s="14" t="s">
        <v>270</v>
      </c>
      <c r="I2" s="14" t="s">
        <v>270</v>
      </c>
      <c r="J2" s="14" t="e">
        <f>ROUND(G2/H2,3)</f>
        <v>#VALUE!</v>
      </c>
      <c r="K2" s="57" t="str">
        <f t="shared" ref="K2:K9" si="0">_xlfn.CONCAT("$/",I2)</f>
        <v>$/N/A</v>
      </c>
      <c r="L2" s="92">
        <f>VLOOKUP(A2,Ingredients!$A$2:$M$77,3,FALSE)</f>
        <v>90</v>
      </c>
      <c r="M2" s="92"/>
      <c r="N2" s="94" t="e">
        <f>L2/J2</f>
        <v>#VALUE!</v>
      </c>
      <c r="O2" s="95"/>
    </row>
    <row r="3" spans="1:17" ht="30" x14ac:dyDescent="0.25">
      <c r="A3" s="92" t="s">
        <v>20</v>
      </c>
      <c r="B3" s="106"/>
      <c r="C3" s="92" t="str">
        <f t="shared" ref="C3:C65" si="1">CONCATENATE(A3,"-",B3)</f>
        <v>Foil Pack Tuna-</v>
      </c>
      <c r="D3" s="92" t="s">
        <v>267</v>
      </c>
      <c r="E3" s="92" t="s">
        <v>271</v>
      </c>
      <c r="F3" s="93" t="s">
        <v>269</v>
      </c>
      <c r="G3" s="14" t="s">
        <v>270</v>
      </c>
      <c r="H3" s="14" t="s">
        <v>270</v>
      </c>
      <c r="I3" s="14" t="s">
        <v>270</v>
      </c>
      <c r="J3" s="14" t="e">
        <f t="shared" ref="J3:J11" si="2">ROUND(G3/H3,3)</f>
        <v>#VALUE!</v>
      </c>
      <c r="K3" s="57" t="str">
        <f t="shared" si="0"/>
        <v>$/N/A</v>
      </c>
      <c r="L3" s="92"/>
      <c r="M3" s="92"/>
      <c r="N3" s="94" t="e">
        <f t="shared" ref="N3:N4" si="3">L3/J3</f>
        <v>#VALUE!</v>
      </c>
      <c r="O3" s="95"/>
    </row>
    <row r="4" spans="1:17" ht="30" x14ac:dyDescent="0.25">
      <c r="A4" s="92" t="s">
        <v>20</v>
      </c>
      <c r="B4" s="106"/>
      <c r="C4" s="92" t="str">
        <f t="shared" si="1"/>
        <v>Foil Pack Tuna-</v>
      </c>
      <c r="D4" s="92" t="s">
        <v>267</v>
      </c>
      <c r="E4" s="92" t="s">
        <v>272</v>
      </c>
      <c r="F4" s="93" t="s">
        <v>269</v>
      </c>
      <c r="G4" s="14"/>
      <c r="H4" s="14"/>
      <c r="I4" s="14"/>
      <c r="J4" s="14" t="e">
        <f t="shared" si="2"/>
        <v>#DIV/0!</v>
      </c>
      <c r="K4" s="57" t="str">
        <f t="shared" si="0"/>
        <v>$/</v>
      </c>
      <c r="L4" s="92"/>
      <c r="M4" s="92"/>
      <c r="N4" s="94" t="e">
        <f t="shared" si="3"/>
        <v>#DIV/0!</v>
      </c>
      <c r="O4" s="95"/>
    </row>
    <row r="5" spans="1:17" ht="30" x14ac:dyDescent="0.25">
      <c r="A5" s="92" t="s">
        <v>20</v>
      </c>
      <c r="B5" s="106"/>
      <c r="C5" s="92" t="str">
        <f t="shared" si="1"/>
        <v>Foil Pack Tuna-</v>
      </c>
      <c r="D5" s="92" t="s">
        <v>267</v>
      </c>
      <c r="E5" s="92" t="s">
        <v>273</v>
      </c>
      <c r="F5" s="93" t="s">
        <v>274</v>
      </c>
      <c r="G5" s="14"/>
      <c r="H5" s="14"/>
      <c r="I5" s="14"/>
      <c r="J5" s="14" t="e">
        <f t="shared" si="2"/>
        <v>#DIV/0!</v>
      </c>
      <c r="K5" s="57" t="str">
        <f t="shared" si="0"/>
        <v>$/</v>
      </c>
      <c r="L5" s="92"/>
      <c r="M5" s="92"/>
      <c r="N5" s="96"/>
      <c r="O5" s="95"/>
    </row>
    <row r="6" spans="1:17" ht="30" x14ac:dyDescent="0.25">
      <c r="A6" s="92" t="s">
        <v>20</v>
      </c>
      <c r="B6" s="106"/>
      <c r="C6" s="92" t="str">
        <f t="shared" si="1"/>
        <v>Foil Pack Tuna-</v>
      </c>
      <c r="D6" s="92" t="s">
        <v>267</v>
      </c>
      <c r="E6" s="92" t="s">
        <v>275</v>
      </c>
      <c r="F6" s="93" t="s">
        <v>276</v>
      </c>
      <c r="G6" s="14">
        <v>2.29</v>
      </c>
      <c r="H6" s="14">
        <v>90</v>
      </c>
      <c r="I6" s="14" t="s">
        <v>26</v>
      </c>
      <c r="J6" s="14">
        <f t="shared" si="2"/>
        <v>2.5000000000000001E-2</v>
      </c>
      <c r="K6" s="57" t="str">
        <f t="shared" si="0"/>
        <v>$/g</v>
      </c>
      <c r="L6" s="92"/>
      <c r="M6" s="92"/>
      <c r="N6" s="96"/>
      <c r="O6" s="95"/>
    </row>
    <row r="7" spans="1:17" x14ac:dyDescent="0.25">
      <c r="A7" s="92" t="s">
        <v>20</v>
      </c>
      <c r="B7" s="106"/>
      <c r="C7" s="92" t="str">
        <f t="shared" si="1"/>
        <v>Foil Pack Tuna-</v>
      </c>
      <c r="D7" s="92" t="s">
        <v>267</v>
      </c>
      <c r="E7" s="92" t="s">
        <v>277</v>
      </c>
      <c r="F7" s="97" t="s">
        <v>278</v>
      </c>
      <c r="G7" s="14">
        <v>2.29</v>
      </c>
      <c r="H7" s="14">
        <v>100</v>
      </c>
      <c r="I7" s="14" t="s">
        <v>26</v>
      </c>
      <c r="J7" s="14">
        <f t="shared" si="2"/>
        <v>2.3E-2</v>
      </c>
      <c r="K7" s="57" t="str">
        <f t="shared" si="0"/>
        <v>$/g</v>
      </c>
      <c r="L7" s="92"/>
      <c r="M7" s="92"/>
      <c r="N7" s="96"/>
      <c r="O7" s="95"/>
    </row>
    <row r="8" spans="1:17" x14ac:dyDescent="0.25">
      <c r="A8" s="92"/>
      <c r="B8" s="106"/>
      <c r="C8" s="92" t="str">
        <f t="shared" si="1"/>
        <v>-</v>
      </c>
      <c r="D8" s="92"/>
      <c r="E8" s="92"/>
      <c r="F8" s="93"/>
      <c r="G8" s="14"/>
      <c r="H8" s="14"/>
      <c r="I8" s="14"/>
      <c r="J8" s="14" t="e">
        <f t="shared" si="2"/>
        <v>#DIV/0!</v>
      </c>
      <c r="K8" s="57" t="str">
        <f t="shared" si="0"/>
        <v>$/</v>
      </c>
      <c r="L8" s="92"/>
      <c r="M8" s="92"/>
      <c r="N8" s="96"/>
      <c r="O8" s="95"/>
    </row>
    <row r="9" spans="1:17" x14ac:dyDescent="0.25">
      <c r="A9" s="92" t="s">
        <v>44</v>
      </c>
      <c r="B9" s="106"/>
      <c r="C9" s="92" t="str">
        <f t="shared" si="1"/>
        <v>Foil Pack Salmon-</v>
      </c>
      <c r="D9" s="92"/>
      <c r="E9" s="92" t="s">
        <v>268</v>
      </c>
      <c r="F9" s="93" t="s">
        <v>279</v>
      </c>
      <c r="G9" s="14" t="s">
        <v>270</v>
      </c>
      <c r="H9" s="14" t="s">
        <v>270</v>
      </c>
      <c r="I9" s="14" t="s">
        <v>270</v>
      </c>
      <c r="J9" s="14" t="e">
        <f t="shared" si="2"/>
        <v>#VALUE!</v>
      </c>
      <c r="K9" s="57" t="str">
        <f t="shared" si="0"/>
        <v>$/N/A</v>
      </c>
      <c r="L9" s="92"/>
      <c r="M9" s="92"/>
      <c r="N9" s="96"/>
      <c r="O9" s="95"/>
    </row>
    <row r="10" spans="1:17" ht="30" x14ac:dyDescent="0.25">
      <c r="A10" s="92" t="s">
        <v>44</v>
      </c>
      <c r="B10" s="106" t="s">
        <v>280</v>
      </c>
      <c r="C10" s="92" t="str">
        <f t="shared" si="1"/>
        <v>Foil Pack Salmon-Y</v>
      </c>
      <c r="D10" s="92"/>
      <c r="E10" s="92" t="s">
        <v>281</v>
      </c>
      <c r="F10" s="93" t="s">
        <v>282</v>
      </c>
      <c r="G10" s="14">
        <v>12.5</v>
      </c>
      <c r="H10" s="14">
        <v>126</v>
      </c>
      <c r="I10" s="14" t="s">
        <v>26</v>
      </c>
      <c r="J10" s="14">
        <f t="shared" si="2"/>
        <v>9.9000000000000005E-2</v>
      </c>
      <c r="K10" s="57" t="str">
        <f>_xlfn.CONCAT("$/",I10)</f>
        <v>$/g</v>
      </c>
      <c r="L10" s="92"/>
      <c r="M10" s="92"/>
      <c r="N10" s="96"/>
      <c r="O10" s="95"/>
      <c r="Q10" s="91" t="b">
        <f ca="1">ISEVEN(CELL("row"))</f>
        <v>0</v>
      </c>
    </row>
    <row r="11" spans="1:17" ht="30" x14ac:dyDescent="0.25">
      <c r="A11" s="92" t="s">
        <v>44</v>
      </c>
      <c r="B11" s="106"/>
      <c r="C11" s="92" t="str">
        <f t="shared" si="1"/>
        <v>Foil Pack Salmon-</v>
      </c>
      <c r="D11" s="92"/>
      <c r="E11" s="92" t="s">
        <v>283</v>
      </c>
      <c r="F11" s="93" t="s">
        <v>284</v>
      </c>
      <c r="G11" s="14"/>
      <c r="H11" s="14"/>
      <c r="I11" s="14"/>
      <c r="J11" s="14" t="e">
        <f t="shared" si="2"/>
        <v>#DIV/0!</v>
      </c>
      <c r="K11" s="57" t="str">
        <f>_xlfn.CONCAT("$/",I11)</f>
        <v>$/</v>
      </c>
      <c r="L11" s="92"/>
      <c r="M11" s="92"/>
      <c r="N11" s="96"/>
      <c r="O11" s="95"/>
    </row>
    <row r="12" spans="1:17" ht="30" x14ac:dyDescent="0.25">
      <c r="A12" s="92" t="s">
        <v>44</v>
      </c>
      <c r="B12" s="106"/>
      <c r="C12" s="92" t="str">
        <f t="shared" si="1"/>
        <v>Foil Pack Salmon-</v>
      </c>
      <c r="D12" s="92"/>
      <c r="E12" s="92" t="s">
        <v>272</v>
      </c>
      <c r="F12" s="93" t="s">
        <v>269</v>
      </c>
      <c r="G12" s="92"/>
      <c r="H12" s="92"/>
      <c r="I12" s="92"/>
      <c r="J12" s="92"/>
      <c r="K12" s="96"/>
      <c r="L12" s="92"/>
      <c r="M12" s="92"/>
      <c r="N12" s="96"/>
      <c r="O12" s="95"/>
    </row>
    <row r="13" spans="1:17" x14ac:dyDescent="0.25">
      <c r="A13" s="92"/>
      <c r="B13" s="106"/>
      <c r="C13" s="92" t="str">
        <f t="shared" si="1"/>
        <v>-</v>
      </c>
      <c r="D13" s="92"/>
      <c r="E13" s="92"/>
      <c r="F13" s="93"/>
      <c r="G13" s="92"/>
      <c r="H13" s="92"/>
      <c r="I13" s="92"/>
      <c r="J13" s="92"/>
      <c r="K13" s="96"/>
      <c r="L13" s="92"/>
      <c r="M13" s="92"/>
      <c r="N13" s="96"/>
      <c r="O13" s="95"/>
    </row>
    <row r="14" spans="1:17" x14ac:dyDescent="0.25">
      <c r="A14" s="92" t="s">
        <v>62</v>
      </c>
      <c r="B14" s="106"/>
      <c r="C14" s="92" t="str">
        <f t="shared" si="1"/>
        <v>Snickers Bar-</v>
      </c>
      <c r="D14" s="92"/>
      <c r="E14" s="92" t="s">
        <v>271</v>
      </c>
      <c r="F14" s="93"/>
      <c r="G14" s="92">
        <v>1.18</v>
      </c>
      <c r="H14" s="92">
        <v>52</v>
      </c>
      <c r="I14" s="92" t="s">
        <v>26</v>
      </c>
      <c r="J14" s="14">
        <f t="shared" ref="J14" si="4">ROUND(G14/H14,3)</f>
        <v>2.3E-2</v>
      </c>
      <c r="K14" s="57" t="str">
        <f t="shared" ref="K14:K22" si="5">_xlfn.CONCAT("$/",I14)</f>
        <v>$/g</v>
      </c>
      <c r="L14" s="92"/>
      <c r="M14" s="92"/>
      <c r="N14" s="98">
        <v>100</v>
      </c>
      <c r="O14" s="95">
        <f>N14*G14</f>
        <v>118</v>
      </c>
    </row>
    <row r="15" spans="1:17" x14ac:dyDescent="0.25">
      <c r="A15" s="92" t="s">
        <v>62</v>
      </c>
      <c r="B15" s="106" t="s">
        <v>280</v>
      </c>
      <c r="C15" s="92" t="str">
        <f t="shared" si="1"/>
        <v>Snickers Bar-Y</v>
      </c>
      <c r="D15" s="92"/>
      <c r="E15" s="92" t="s">
        <v>271</v>
      </c>
      <c r="F15" s="93"/>
      <c r="G15" s="92">
        <v>2.97</v>
      </c>
      <c r="H15" s="92">
        <v>208</v>
      </c>
      <c r="I15" s="92" t="s">
        <v>26</v>
      </c>
      <c r="J15" s="14">
        <f t="shared" ref="J15" si="6">ROUND(G15/H15,3)</f>
        <v>1.4E-2</v>
      </c>
      <c r="K15" s="57" t="str">
        <f t="shared" si="5"/>
        <v>$/g</v>
      </c>
      <c r="L15" s="92"/>
      <c r="M15" s="92"/>
      <c r="N15" s="98">
        <f>100/4</f>
        <v>25</v>
      </c>
      <c r="O15" s="95">
        <f>N15*G15</f>
        <v>74.25</v>
      </c>
    </row>
    <row r="16" spans="1:17" x14ac:dyDescent="0.25">
      <c r="A16" s="92" t="s">
        <v>62</v>
      </c>
      <c r="B16" s="106"/>
      <c r="C16" s="92" t="str">
        <f t="shared" si="1"/>
        <v>Snickers Bar-</v>
      </c>
      <c r="D16" s="92"/>
      <c r="E16" s="92" t="s">
        <v>273</v>
      </c>
      <c r="F16" s="93"/>
      <c r="G16" s="92">
        <v>3.98</v>
      </c>
      <c r="H16" s="92">
        <v>208</v>
      </c>
      <c r="I16" s="92" t="s">
        <v>26</v>
      </c>
      <c r="J16" s="14">
        <f t="shared" ref="J16" si="7">ROUND(G16/H16,3)</f>
        <v>1.9E-2</v>
      </c>
      <c r="K16" s="57" t="str">
        <f t="shared" si="5"/>
        <v>$/g</v>
      </c>
      <c r="L16" s="92"/>
      <c r="M16" s="92"/>
      <c r="N16" s="98">
        <f>100/4</f>
        <v>25</v>
      </c>
      <c r="O16" s="95">
        <f>N16*G16</f>
        <v>99.5</v>
      </c>
    </row>
    <row r="17" spans="1:15" x14ac:dyDescent="0.25">
      <c r="A17" s="92" t="s">
        <v>62</v>
      </c>
      <c r="B17" s="106"/>
      <c r="C17" s="92" t="str">
        <f t="shared" si="1"/>
        <v>Snickers Bar-</v>
      </c>
      <c r="D17" s="92"/>
      <c r="E17" s="99" t="s">
        <v>285</v>
      </c>
      <c r="F17" s="93"/>
      <c r="G17" s="92">
        <v>89</v>
      </c>
      <c r="H17" s="92">
        <f>48*52</f>
        <v>2496</v>
      </c>
      <c r="I17" s="92" t="s">
        <v>26</v>
      </c>
      <c r="J17" s="14">
        <f t="shared" ref="J17" si="8">ROUND(G17/H17,3)</f>
        <v>3.5999999999999997E-2</v>
      </c>
      <c r="K17" s="57" t="str">
        <f t="shared" si="5"/>
        <v>$/g</v>
      </c>
      <c r="L17" s="92"/>
      <c r="M17" s="92"/>
      <c r="N17" s="98"/>
      <c r="O17" s="95"/>
    </row>
    <row r="18" spans="1:15" x14ac:dyDescent="0.25">
      <c r="A18" s="92" t="s">
        <v>62</v>
      </c>
      <c r="B18" s="106"/>
      <c r="C18" s="92" t="str">
        <f t="shared" si="1"/>
        <v>Snickers Bar-</v>
      </c>
      <c r="D18" s="92" t="s">
        <v>286</v>
      </c>
      <c r="E18" s="99" t="s">
        <v>285</v>
      </c>
      <c r="F18" s="93"/>
      <c r="G18" s="92">
        <v>97</v>
      </c>
      <c r="H18" s="92">
        <f>2*48*52</f>
        <v>4992</v>
      </c>
      <c r="I18" s="92" t="s">
        <v>26</v>
      </c>
      <c r="J18" s="14">
        <f t="shared" ref="J18" si="9">ROUND(G18/H18,3)</f>
        <v>1.9E-2</v>
      </c>
      <c r="K18" s="57" t="str">
        <f t="shared" si="5"/>
        <v>$/g</v>
      </c>
      <c r="L18" s="92"/>
      <c r="M18" s="92"/>
      <c r="N18" s="98"/>
      <c r="O18" s="95"/>
    </row>
    <row r="19" spans="1:15" x14ac:dyDescent="0.25">
      <c r="A19" s="92" t="s">
        <v>62</v>
      </c>
      <c r="B19" s="106"/>
      <c r="C19" s="92" t="str">
        <f t="shared" si="1"/>
        <v>Snickers Bar-</v>
      </c>
      <c r="D19" s="92" t="s">
        <v>287</v>
      </c>
      <c r="E19" s="99" t="s">
        <v>285</v>
      </c>
      <c r="F19" s="93"/>
      <c r="G19" s="92">
        <v>118</v>
      </c>
      <c r="H19" s="92">
        <f>4*48*52</f>
        <v>9984</v>
      </c>
      <c r="I19" s="92" t="s">
        <v>26</v>
      </c>
      <c r="J19" s="14">
        <f t="shared" ref="J19" si="10">ROUND(G19/H19,3)</f>
        <v>1.2E-2</v>
      </c>
      <c r="K19" s="57" t="str">
        <f t="shared" si="5"/>
        <v>$/g</v>
      </c>
      <c r="L19" s="92"/>
      <c r="M19" s="92"/>
      <c r="N19" s="98"/>
      <c r="O19" s="95"/>
    </row>
    <row r="20" spans="1:15" x14ac:dyDescent="0.25">
      <c r="A20" s="92" t="s">
        <v>62</v>
      </c>
      <c r="B20" s="106"/>
      <c r="C20" s="92" t="str">
        <f t="shared" si="1"/>
        <v>Snickers Bar-</v>
      </c>
      <c r="D20" s="92" t="s">
        <v>288</v>
      </c>
      <c r="E20" s="99" t="s">
        <v>285</v>
      </c>
      <c r="F20" s="93"/>
      <c r="G20" s="92">
        <v>26</v>
      </c>
      <c r="H20" s="92">
        <f>6*4*52</f>
        <v>1248</v>
      </c>
      <c r="I20" s="92" t="s">
        <v>26</v>
      </c>
      <c r="J20" s="14">
        <f t="shared" ref="J20" si="11">ROUND(G20/H20,3)</f>
        <v>2.1000000000000001E-2</v>
      </c>
      <c r="K20" s="57" t="str">
        <f t="shared" si="5"/>
        <v>$/g</v>
      </c>
      <c r="L20" s="92"/>
      <c r="M20" s="92"/>
      <c r="N20" s="98"/>
      <c r="O20" s="95"/>
    </row>
    <row r="21" spans="1:15" x14ac:dyDescent="0.25">
      <c r="A21" s="92" t="s">
        <v>62</v>
      </c>
      <c r="B21" s="106"/>
      <c r="C21" s="92" t="str">
        <f t="shared" si="1"/>
        <v>Snickers Bar-</v>
      </c>
      <c r="D21" s="92" t="s">
        <v>289</v>
      </c>
      <c r="E21" s="99" t="s">
        <v>285</v>
      </c>
      <c r="F21" s="93"/>
      <c r="G21" s="92">
        <v>54</v>
      </c>
      <c r="H21" s="92">
        <f>48*52</f>
        <v>2496</v>
      </c>
      <c r="I21" s="92" t="s">
        <v>26</v>
      </c>
      <c r="J21" s="14">
        <f t="shared" ref="J21:J22" si="12">ROUND(G21/H21,3)</f>
        <v>2.1999999999999999E-2</v>
      </c>
      <c r="K21" s="57" t="str">
        <f t="shared" si="5"/>
        <v>$/g</v>
      </c>
      <c r="L21" s="92"/>
      <c r="M21" s="92"/>
      <c r="N21" s="98"/>
      <c r="O21" s="95"/>
    </row>
    <row r="22" spans="1:15" x14ac:dyDescent="0.25">
      <c r="A22" s="92" t="s">
        <v>62</v>
      </c>
      <c r="B22" s="106"/>
      <c r="C22" s="92" t="str">
        <f t="shared" si="1"/>
        <v>Snickers Bar-</v>
      </c>
      <c r="D22" s="92"/>
      <c r="E22" s="99" t="s">
        <v>290</v>
      </c>
      <c r="F22" s="93"/>
      <c r="G22" s="92">
        <v>3.98</v>
      </c>
      <c r="H22" s="92">
        <f>52*4</f>
        <v>208</v>
      </c>
      <c r="I22" s="92" t="s">
        <v>26</v>
      </c>
      <c r="J22" s="14">
        <f t="shared" si="12"/>
        <v>1.9E-2</v>
      </c>
      <c r="K22" s="57" t="str">
        <f t="shared" si="5"/>
        <v>$/g</v>
      </c>
      <c r="L22" s="92"/>
      <c r="M22" s="92"/>
      <c r="N22" s="98"/>
      <c r="O22" s="95"/>
    </row>
    <row r="23" spans="1:15" x14ac:dyDescent="0.25">
      <c r="A23" s="92" t="s">
        <v>62</v>
      </c>
      <c r="B23" s="106"/>
      <c r="C23" s="92" t="str">
        <f t="shared" si="1"/>
        <v>Snickers Bar-</v>
      </c>
      <c r="D23" s="92"/>
      <c r="E23" s="92" t="s">
        <v>291</v>
      </c>
      <c r="F23" s="93"/>
      <c r="G23" s="92">
        <v>61.5</v>
      </c>
      <c r="H23" s="92">
        <f>48*52</f>
        <v>2496</v>
      </c>
      <c r="I23" s="92" t="s">
        <v>26</v>
      </c>
      <c r="J23" s="14">
        <f t="shared" ref="J23" si="13">ROUND(G23/H23,3)</f>
        <v>2.5000000000000001E-2</v>
      </c>
      <c r="K23" s="57" t="str">
        <f t="shared" ref="K23" si="14">_xlfn.CONCAT("$/",I23)</f>
        <v>$/g</v>
      </c>
      <c r="L23" s="92"/>
      <c r="M23" s="92"/>
      <c r="N23" s="98"/>
      <c r="O23" s="95"/>
    </row>
    <row r="24" spans="1:15" x14ac:dyDescent="0.25">
      <c r="A24" s="92" t="s">
        <v>62</v>
      </c>
      <c r="B24" s="106"/>
      <c r="C24" s="92" t="str">
        <f t="shared" si="1"/>
        <v>Snickers Bar-</v>
      </c>
      <c r="D24" s="92"/>
      <c r="E24" s="92"/>
      <c r="F24" s="93"/>
      <c r="G24" s="92"/>
      <c r="H24" s="92"/>
      <c r="I24" s="92"/>
      <c r="J24" s="14"/>
      <c r="K24" s="57"/>
      <c r="L24" s="92"/>
      <c r="M24" s="92"/>
      <c r="N24" s="98"/>
      <c r="O24" s="95"/>
    </row>
    <row r="25" spans="1:15" x14ac:dyDescent="0.25">
      <c r="A25" s="92" t="s">
        <v>62</v>
      </c>
      <c r="B25" s="106"/>
      <c r="C25" s="92" t="str">
        <f t="shared" si="1"/>
        <v>Snickers Bar-</v>
      </c>
      <c r="D25" s="92"/>
      <c r="E25" s="92"/>
      <c r="F25" s="93"/>
      <c r="G25" s="92"/>
      <c r="H25" s="92"/>
      <c r="I25" s="92"/>
      <c r="J25" s="14"/>
      <c r="K25" s="57"/>
      <c r="L25" s="92"/>
      <c r="M25" s="92"/>
      <c r="N25" s="98"/>
      <c r="O25" s="95"/>
    </row>
    <row r="26" spans="1:15" x14ac:dyDescent="0.25">
      <c r="A26" s="92" t="s">
        <v>62</v>
      </c>
      <c r="B26" s="106"/>
      <c r="C26" s="92" t="str">
        <f t="shared" si="1"/>
        <v>Snickers Bar-</v>
      </c>
      <c r="D26" s="92"/>
      <c r="E26" s="92"/>
      <c r="F26" s="93"/>
      <c r="G26" s="92"/>
      <c r="H26" s="92"/>
      <c r="I26" s="92"/>
      <c r="J26" s="14"/>
      <c r="K26" s="57"/>
      <c r="L26" s="92"/>
      <c r="M26" s="92"/>
      <c r="N26" s="98"/>
      <c r="O26" s="95"/>
    </row>
    <row r="27" spans="1:15" x14ac:dyDescent="0.25">
      <c r="A27" s="92" t="s">
        <v>62</v>
      </c>
      <c r="B27" s="106"/>
      <c r="C27" s="92" t="str">
        <f t="shared" si="1"/>
        <v>Snickers Bar-</v>
      </c>
      <c r="D27" s="92"/>
      <c r="E27" s="92"/>
      <c r="F27" s="93"/>
      <c r="G27" s="92"/>
      <c r="H27" s="92"/>
      <c r="I27" s="92"/>
      <c r="J27" s="14"/>
      <c r="K27" s="57"/>
      <c r="L27" s="92"/>
      <c r="M27" s="92"/>
      <c r="N27" s="98"/>
      <c r="O27" s="95"/>
    </row>
    <row r="28" spans="1:15" x14ac:dyDescent="0.25">
      <c r="A28" s="92"/>
      <c r="B28" s="106"/>
      <c r="C28" s="92" t="str">
        <f t="shared" si="1"/>
        <v>-</v>
      </c>
      <c r="D28" s="92"/>
      <c r="E28" s="92"/>
      <c r="F28" s="93"/>
      <c r="G28" s="92"/>
      <c r="H28" s="92"/>
      <c r="I28" s="92"/>
      <c r="J28" s="92"/>
      <c r="K28" s="96"/>
      <c r="L28" s="92"/>
      <c r="M28" s="92"/>
      <c r="N28" s="96"/>
      <c r="O28" s="95"/>
    </row>
    <row r="29" spans="1:15" x14ac:dyDescent="0.25">
      <c r="A29" s="92" t="s">
        <v>38</v>
      </c>
      <c r="B29" s="106"/>
      <c r="C29" s="92" t="str">
        <f t="shared" si="1"/>
        <v>Foil Pack Chicken-</v>
      </c>
      <c r="D29" s="92"/>
      <c r="E29" s="92"/>
      <c r="F29" s="93"/>
      <c r="G29" s="92"/>
      <c r="H29" s="92"/>
      <c r="I29" s="92"/>
      <c r="J29" s="92"/>
      <c r="K29" s="96"/>
      <c r="L29" s="92"/>
      <c r="M29" s="92"/>
      <c r="N29" s="96"/>
      <c r="O29" s="95"/>
    </row>
    <row r="30" spans="1:15" x14ac:dyDescent="0.25">
      <c r="A30" s="92"/>
      <c r="B30" s="106"/>
      <c r="C30" s="92" t="str">
        <f t="shared" si="1"/>
        <v>-</v>
      </c>
      <c r="D30" s="92"/>
      <c r="E30" s="92"/>
      <c r="F30" s="93"/>
      <c r="G30" s="92"/>
      <c r="H30" s="92"/>
      <c r="I30" s="92"/>
      <c r="J30" s="92"/>
      <c r="K30" s="96"/>
      <c r="L30" s="92"/>
      <c r="M30" s="92"/>
      <c r="N30" s="96"/>
      <c r="O30" s="95"/>
    </row>
    <row r="31" spans="1:15" x14ac:dyDescent="0.25">
      <c r="A31" s="92" t="s">
        <v>17</v>
      </c>
      <c r="B31" s="106"/>
      <c r="C31" s="92" t="str">
        <f t="shared" si="1"/>
        <v>Instant Rice -</v>
      </c>
      <c r="D31" s="92"/>
      <c r="E31" s="92" t="s">
        <v>271</v>
      </c>
      <c r="F31" s="93" t="s">
        <v>292</v>
      </c>
      <c r="G31" s="92">
        <v>7.28</v>
      </c>
      <c r="H31" s="92">
        <v>2.6</v>
      </c>
      <c r="I31" s="92" t="s">
        <v>19</v>
      </c>
      <c r="J31" s="14">
        <f t="shared" ref="J31" si="15">ROUND(G31/H31,3)</f>
        <v>2.8</v>
      </c>
      <c r="K31" s="57" t="str">
        <f>_xlfn.CONCAT("$/",I31)</f>
        <v>$/kg</v>
      </c>
      <c r="L31" s="92"/>
      <c r="M31" s="92"/>
      <c r="N31" s="94"/>
      <c r="O31" s="95"/>
    </row>
    <row r="32" spans="1:15" x14ac:dyDescent="0.25">
      <c r="A32" s="92" t="s">
        <v>17</v>
      </c>
      <c r="B32" s="106"/>
      <c r="C32" s="92" t="str">
        <f t="shared" si="1"/>
        <v>Instant Rice -</v>
      </c>
      <c r="D32" s="92"/>
      <c r="E32" s="92" t="s">
        <v>271</v>
      </c>
      <c r="F32" s="93" t="s">
        <v>293</v>
      </c>
      <c r="G32" s="92">
        <v>7.78</v>
      </c>
      <c r="H32" s="92">
        <v>2.6</v>
      </c>
      <c r="I32" s="92" t="s">
        <v>19</v>
      </c>
      <c r="J32" s="14">
        <f t="shared" ref="J32" si="16">ROUND(G32/H32,3)</f>
        <v>2.992</v>
      </c>
      <c r="K32" s="57" t="str">
        <f>_xlfn.CONCAT("$/",I32)</f>
        <v>$/kg</v>
      </c>
      <c r="L32" s="92"/>
      <c r="M32" s="92"/>
      <c r="N32" s="94"/>
      <c r="O32" s="95"/>
    </row>
    <row r="33" spans="1:15" x14ac:dyDescent="0.25">
      <c r="A33" s="92" t="s">
        <v>17</v>
      </c>
      <c r="B33" s="106"/>
      <c r="C33" s="92" t="str">
        <f t="shared" si="1"/>
        <v>Instant Rice -</v>
      </c>
      <c r="D33" s="92"/>
      <c r="E33" s="92" t="s">
        <v>273</v>
      </c>
      <c r="F33" s="93" t="s">
        <v>294</v>
      </c>
      <c r="G33" s="92">
        <v>4.47</v>
      </c>
      <c r="H33" s="92">
        <v>1.4</v>
      </c>
      <c r="I33" s="92" t="s">
        <v>19</v>
      </c>
      <c r="J33" s="14">
        <f>ROUND(G33/H33,3)</f>
        <v>3.1930000000000001</v>
      </c>
      <c r="K33" s="57" t="str">
        <f>_xlfn.CONCAT("$/",I33)</f>
        <v>$/kg</v>
      </c>
      <c r="L33" s="92"/>
      <c r="M33" s="92"/>
      <c r="N33" s="94"/>
      <c r="O33" s="95"/>
    </row>
    <row r="34" spans="1:15" x14ac:dyDescent="0.25">
      <c r="A34" s="92"/>
      <c r="B34" s="106"/>
      <c r="C34" s="92" t="str">
        <f t="shared" si="1"/>
        <v>-</v>
      </c>
      <c r="D34" s="92"/>
      <c r="E34" s="92"/>
      <c r="F34" s="93"/>
      <c r="G34" s="92"/>
      <c r="H34" s="92"/>
      <c r="I34" s="92"/>
      <c r="J34" s="92"/>
      <c r="K34" s="96"/>
      <c r="L34" s="92"/>
      <c r="M34" s="92"/>
      <c r="N34" s="96"/>
      <c r="O34" s="95"/>
    </row>
    <row r="35" spans="1:15" x14ac:dyDescent="0.25">
      <c r="A35" s="92" t="s">
        <v>295</v>
      </c>
      <c r="B35" s="106"/>
      <c r="C35" s="92" t="str">
        <f t="shared" si="1"/>
        <v>Fritos-</v>
      </c>
      <c r="D35" s="92"/>
      <c r="E35" s="92" t="s">
        <v>271</v>
      </c>
      <c r="F35" s="93"/>
      <c r="G35" s="92">
        <v>3.78</v>
      </c>
      <c r="H35" s="92">
        <v>370</v>
      </c>
      <c r="I35" s="92" t="s">
        <v>26</v>
      </c>
      <c r="J35" s="14">
        <f>ROUND(G35/H35,3)</f>
        <v>0.01</v>
      </c>
      <c r="K35" s="57" t="str">
        <f>_xlfn.CONCAT("$/",I35)</f>
        <v>$/g</v>
      </c>
      <c r="L35" s="92"/>
      <c r="M35" s="92"/>
      <c r="N35" s="96"/>
      <c r="O35" s="95"/>
    </row>
    <row r="36" spans="1:15" x14ac:dyDescent="0.25">
      <c r="A36" s="92" t="s">
        <v>295</v>
      </c>
      <c r="B36" s="106"/>
      <c r="C36" s="92" t="str">
        <f t="shared" si="1"/>
        <v>Fritos-</v>
      </c>
      <c r="D36" s="92"/>
      <c r="E36" s="92" t="s">
        <v>273</v>
      </c>
      <c r="F36" s="93"/>
      <c r="G36" s="92"/>
      <c r="H36" s="92"/>
      <c r="I36" s="92"/>
      <c r="J36" s="92"/>
      <c r="K36" s="96"/>
      <c r="L36" s="92"/>
      <c r="M36" s="92"/>
      <c r="N36" s="96"/>
      <c r="O36" s="95"/>
    </row>
    <row r="37" spans="1:15" x14ac:dyDescent="0.25">
      <c r="A37" s="92"/>
      <c r="B37" s="106"/>
      <c r="C37" s="92" t="str">
        <f t="shared" si="1"/>
        <v>-</v>
      </c>
      <c r="D37" s="92"/>
      <c r="E37" s="92"/>
      <c r="F37" s="93"/>
      <c r="G37" s="92"/>
      <c r="H37" s="92"/>
      <c r="I37" s="92"/>
      <c r="J37" s="92"/>
      <c r="K37" s="96"/>
      <c r="L37" s="92"/>
      <c r="M37" s="92"/>
      <c r="N37" s="96"/>
      <c r="O37" s="95"/>
    </row>
    <row r="38" spans="1:15" x14ac:dyDescent="0.25">
      <c r="A38" s="92"/>
      <c r="B38" s="106"/>
      <c r="C38" s="92" t="str">
        <f t="shared" si="1"/>
        <v>-</v>
      </c>
      <c r="D38" s="92"/>
      <c r="E38" s="92"/>
      <c r="F38" s="93"/>
      <c r="G38" s="92"/>
      <c r="H38" s="92"/>
      <c r="I38" s="92"/>
      <c r="J38" s="92"/>
      <c r="K38" s="96"/>
      <c r="L38" s="92"/>
      <c r="M38" s="92"/>
      <c r="N38" s="96"/>
      <c r="O38" s="95"/>
    </row>
    <row r="39" spans="1:15" x14ac:dyDescent="0.25">
      <c r="A39" s="100" t="s">
        <v>296</v>
      </c>
      <c r="B39" s="107"/>
      <c r="C39" s="92" t="str">
        <f t="shared" si="1"/>
        <v>Rice Noodles-</v>
      </c>
      <c r="D39" s="92"/>
      <c r="E39" s="92"/>
      <c r="F39" s="93"/>
      <c r="G39" s="92"/>
      <c r="H39" s="92"/>
      <c r="I39" s="92"/>
      <c r="J39" s="92"/>
      <c r="K39" s="96"/>
      <c r="L39" s="92"/>
      <c r="M39" s="92"/>
      <c r="N39" s="96"/>
      <c r="O39" s="95"/>
    </row>
    <row r="40" spans="1:15" x14ac:dyDescent="0.25">
      <c r="A40" s="92"/>
      <c r="B40" s="106"/>
      <c r="C40" s="92" t="str">
        <f t="shared" si="1"/>
        <v>-</v>
      </c>
      <c r="D40" s="92"/>
      <c r="E40" s="92"/>
      <c r="F40" s="101"/>
      <c r="G40" s="92"/>
      <c r="H40" s="92"/>
      <c r="I40" s="92"/>
      <c r="J40" s="92"/>
      <c r="K40" s="96"/>
      <c r="L40" s="92"/>
      <c r="M40" s="92"/>
      <c r="N40" s="96"/>
      <c r="O40" s="95"/>
    </row>
    <row r="41" spans="1:15" x14ac:dyDescent="0.25">
      <c r="A41" s="92" t="s">
        <v>297</v>
      </c>
      <c r="B41" s="106"/>
      <c r="C41" s="92" t="str">
        <f t="shared" si="1"/>
        <v>Instant Beans (whole or refried)-</v>
      </c>
      <c r="D41" s="92"/>
      <c r="E41" s="92"/>
      <c r="F41" s="101"/>
      <c r="G41" s="92"/>
      <c r="H41" s="92"/>
      <c r="I41" s="92"/>
      <c r="J41" s="92"/>
      <c r="K41" s="96"/>
      <c r="L41" s="92"/>
      <c r="M41" s="92"/>
      <c r="N41" s="96"/>
      <c r="O41" s="95"/>
    </row>
    <row r="42" spans="1:15" x14ac:dyDescent="0.25">
      <c r="A42" s="92"/>
      <c r="B42" s="106"/>
      <c r="C42" s="92" t="str">
        <f t="shared" si="1"/>
        <v>-</v>
      </c>
      <c r="D42" s="92"/>
      <c r="E42" s="92"/>
      <c r="F42" s="101"/>
      <c r="G42" s="92"/>
      <c r="H42" s="92"/>
      <c r="I42" s="92"/>
      <c r="J42" s="92"/>
      <c r="K42" s="96"/>
      <c r="L42" s="92"/>
      <c r="M42" s="92"/>
      <c r="N42" s="96"/>
      <c r="O42" s="95"/>
    </row>
    <row r="43" spans="1:15" x14ac:dyDescent="0.25">
      <c r="A43" s="92" t="s">
        <v>33</v>
      </c>
      <c r="B43" s="106"/>
      <c r="C43" s="92" t="str">
        <f t="shared" si="1"/>
        <v>Instant Potato-</v>
      </c>
      <c r="D43" s="92"/>
      <c r="E43" s="92"/>
      <c r="F43" s="101"/>
      <c r="G43" s="92"/>
      <c r="H43" s="92"/>
      <c r="I43" s="92"/>
      <c r="J43" s="92"/>
      <c r="K43" s="96"/>
      <c r="L43" s="92"/>
      <c r="M43" s="92"/>
      <c r="N43" s="96"/>
      <c r="O43" s="95"/>
    </row>
    <row r="44" spans="1:15" x14ac:dyDescent="0.25">
      <c r="A44" s="92"/>
      <c r="B44" s="106"/>
      <c r="C44" s="92" t="str">
        <f t="shared" si="1"/>
        <v>-</v>
      </c>
      <c r="D44" s="92"/>
      <c r="E44" s="92"/>
      <c r="F44" s="101"/>
      <c r="G44" s="92"/>
      <c r="H44" s="92"/>
      <c r="I44" s="92"/>
      <c r="J44" s="92"/>
      <c r="K44" s="96"/>
      <c r="L44" s="92"/>
      <c r="M44" s="92"/>
      <c r="N44" s="96"/>
      <c r="O44" s="95"/>
    </row>
    <row r="45" spans="1:15" x14ac:dyDescent="0.25">
      <c r="A45" s="92" t="s">
        <v>37</v>
      </c>
      <c r="B45" s="106"/>
      <c r="C45" s="92" t="str">
        <f t="shared" si="1"/>
        <v>Cheese Powder-</v>
      </c>
      <c r="D45" s="92"/>
      <c r="E45" s="92"/>
      <c r="F45" s="101"/>
      <c r="G45" s="92"/>
      <c r="H45" s="92"/>
      <c r="I45" s="92"/>
      <c r="J45" s="92"/>
      <c r="K45" s="96"/>
      <c r="L45" s="92"/>
      <c r="M45" s="92"/>
      <c r="N45" s="96"/>
      <c r="O45" s="95"/>
    </row>
    <row r="46" spans="1:15" x14ac:dyDescent="0.25">
      <c r="A46" s="92"/>
      <c r="B46" s="106"/>
      <c r="C46" s="92" t="str">
        <f t="shared" si="1"/>
        <v>-</v>
      </c>
      <c r="D46" s="92"/>
      <c r="E46" s="92"/>
      <c r="F46" s="101"/>
      <c r="G46" s="92"/>
      <c r="H46" s="92"/>
      <c r="I46" s="92"/>
      <c r="J46" s="92"/>
      <c r="K46" s="96"/>
      <c r="L46" s="92"/>
      <c r="M46" s="92"/>
      <c r="N46" s="96"/>
      <c r="O46" s="95"/>
    </row>
    <row r="47" spans="1:15" x14ac:dyDescent="0.25">
      <c r="A47" s="92" t="s">
        <v>298</v>
      </c>
      <c r="B47" s="106"/>
      <c r="C47" s="92" t="str">
        <f t="shared" si="1"/>
        <v>Dehydrated Whole Milk-</v>
      </c>
      <c r="D47" s="92"/>
      <c r="E47" s="92"/>
      <c r="F47" s="101"/>
      <c r="G47" s="92"/>
      <c r="H47" s="92"/>
      <c r="I47" s="92"/>
      <c r="J47" s="92"/>
      <c r="K47" s="96"/>
      <c r="L47" s="92"/>
      <c r="M47" s="92"/>
      <c r="N47" s="96"/>
      <c r="O47" s="95"/>
    </row>
    <row r="48" spans="1:15" x14ac:dyDescent="0.25">
      <c r="A48" s="92"/>
      <c r="B48" s="106"/>
      <c r="C48" s="92" t="str">
        <f t="shared" si="1"/>
        <v>-</v>
      </c>
      <c r="D48" s="92"/>
      <c r="E48" s="92"/>
      <c r="F48" s="101"/>
      <c r="G48" s="92"/>
      <c r="H48" s="92"/>
      <c r="I48" s="92"/>
      <c r="J48" s="92"/>
      <c r="K48" s="96"/>
      <c r="L48" s="92"/>
      <c r="M48" s="92"/>
      <c r="N48" s="96"/>
      <c r="O48" s="95"/>
    </row>
    <row r="49" spans="1:15" x14ac:dyDescent="0.25">
      <c r="A49" s="92" t="s">
        <v>74</v>
      </c>
      <c r="B49" s="106"/>
      <c r="C49" s="92" t="str">
        <f t="shared" si="1"/>
        <v>Rice Ramen Noodle and Miso-</v>
      </c>
      <c r="D49" s="92"/>
      <c r="E49" s="92"/>
      <c r="F49" s="101"/>
      <c r="G49" s="92"/>
      <c r="H49" s="92"/>
      <c r="I49" s="92"/>
      <c r="J49" s="92"/>
      <c r="K49" s="96"/>
      <c r="L49" s="92"/>
      <c r="M49" s="92"/>
      <c r="N49" s="96"/>
      <c r="O49" s="95"/>
    </row>
    <row r="50" spans="1:15" x14ac:dyDescent="0.25">
      <c r="A50" s="92"/>
      <c r="B50" s="106"/>
      <c r="C50" s="92" t="str">
        <f t="shared" si="1"/>
        <v>-</v>
      </c>
      <c r="D50" s="92"/>
      <c r="E50" s="92"/>
      <c r="F50" s="101"/>
      <c r="G50" s="92"/>
      <c r="H50" s="92"/>
      <c r="I50" s="92"/>
      <c r="J50" s="92"/>
      <c r="K50" s="96"/>
      <c r="L50" s="92"/>
      <c r="M50" s="92"/>
      <c r="N50" s="96"/>
      <c r="O50" s="95"/>
    </row>
    <row r="51" spans="1:15" x14ac:dyDescent="0.25">
      <c r="A51" s="92" t="s">
        <v>299</v>
      </c>
      <c r="B51" s="108"/>
      <c r="C51" s="92" t="str">
        <f t="shared" si="1"/>
        <v>Parmasan Cheese Flakes-</v>
      </c>
      <c r="D51" s="102"/>
      <c r="E51" s="102"/>
      <c r="F51" s="93"/>
      <c r="G51" s="92"/>
      <c r="H51" s="92"/>
      <c r="I51" s="92"/>
      <c r="J51" s="92"/>
      <c r="K51" s="96"/>
      <c r="L51" s="92"/>
      <c r="M51" s="92"/>
      <c r="N51" s="96"/>
      <c r="O51" s="95"/>
    </row>
    <row r="52" spans="1:15" x14ac:dyDescent="0.25">
      <c r="A52" s="92"/>
      <c r="B52" s="106"/>
      <c r="C52" s="92" t="str">
        <f t="shared" si="1"/>
        <v>-</v>
      </c>
      <c r="D52" s="92"/>
      <c r="E52" s="92"/>
      <c r="F52" s="93"/>
      <c r="G52" s="92"/>
      <c r="H52" s="92"/>
      <c r="I52" s="92"/>
      <c r="J52" s="92"/>
      <c r="K52" s="96"/>
      <c r="L52" s="92"/>
      <c r="M52" s="92"/>
      <c r="N52" s="96"/>
      <c r="O52" s="95"/>
    </row>
    <row r="53" spans="1:15" x14ac:dyDescent="0.25">
      <c r="A53" s="100" t="s">
        <v>89</v>
      </c>
      <c r="B53" s="107"/>
      <c r="C53" s="92" t="str">
        <f t="shared" si="1"/>
        <v>Sun Dried Tomatos-</v>
      </c>
      <c r="D53" s="92"/>
      <c r="E53" s="92"/>
      <c r="F53" s="93"/>
      <c r="G53" s="92"/>
      <c r="H53" s="92"/>
      <c r="I53" s="92"/>
      <c r="J53" s="92"/>
      <c r="K53" s="96"/>
      <c r="L53" s="92"/>
      <c r="M53" s="92"/>
      <c r="N53" s="96"/>
      <c r="O53" s="95"/>
    </row>
    <row r="54" spans="1:15" x14ac:dyDescent="0.25">
      <c r="A54" s="92"/>
      <c r="B54" s="106"/>
      <c r="C54" s="92" t="str">
        <f t="shared" si="1"/>
        <v>-</v>
      </c>
      <c r="D54" s="92"/>
      <c r="E54" s="92"/>
      <c r="F54" s="93"/>
      <c r="G54" s="92"/>
      <c r="H54" s="92"/>
      <c r="I54" s="92"/>
      <c r="J54" s="92"/>
      <c r="K54" s="96"/>
      <c r="L54" s="92"/>
      <c r="M54" s="92"/>
      <c r="N54" s="96"/>
      <c r="O54" s="95"/>
    </row>
    <row r="55" spans="1:15" x14ac:dyDescent="0.25">
      <c r="A55" s="92" t="s">
        <v>84</v>
      </c>
      <c r="B55" s="106"/>
      <c r="C55" s="92" t="str">
        <f t="shared" si="1"/>
        <v>Garlic Powder-</v>
      </c>
      <c r="D55" s="92" t="s">
        <v>300</v>
      </c>
      <c r="E55" s="92"/>
      <c r="F55" s="93"/>
      <c r="G55" s="92"/>
      <c r="H55" s="92"/>
      <c r="I55" s="92"/>
      <c r="J55" s="92"/>
      <c r="K55" s="96"/>
      <c r="L55" s="92"/>
      <c r="M55" s="92"/>
      <c r="N55" s="96"/>
      <c r="O55" s="95"/>
    </row>
    <row r="56" spans="1:15" x14ac:dyDescent="0.25">
      <c r="A56" s="92"/>
      <c r="B56" s="106"/>
      <c r="C56" s="92" t="str">
        <f t="shared" si="1"/>
        <v>-</v>
      </c>
      <c r="D56" s="92"/>
      <c r="E56" s="92"/>
      <c r="F56" s="93"/>
      <c r="G56" s="92"/>
      <c r="H56" s="92"/>
      <c r="I56" s="92"/>
      <c r="J56" s="92"/>
      <c r="K56" s="96"/>
      <c r="L56" s="92"/>
      <c r="M56" s="92"/>
      <c r="N56" s="96"/>
      <c r="O56" s="95"/>
    </row>
    <row r="57" spans="1:15" x14ac:dyDescent="0.25">
      <c r="A57" s="92" t="s">
        <v>301</v>
      </c>
      <c r="B57" s="106"/>
      <c r="C57" s="92" t="str">
        <f t="shared" si="1"/>
        <v>basil-</v>
      </c>
      <c r="D57" s="92"/>
      <c r="E57" s="92"/>
      <c r="F57" s="93"/>
      <c r="G57" s="92"/>
      <c r="H57" s="92"/>
      <c r="I57" s="92"/>
      <c r="J57" s="92"/>
      <c r="K57" s="96"/>
      <c r="L57" s="92"/>
      <c r="M57" s="92"/>
      <c r="N57" s="96"/>
      <c r="O57" s="95"/>
    </row>
    <row r="58" spans="1:15" x14ac:dyDescent="0.25">
      <c r="A58" s="92"/>
      <c r="B58" s="106"/>
      <c r="C58" s="92" t="str">
        <f t="shared" si="1"/>
        <v>-</v>
      </c>
      <c r="D58" s="92"/>
      <c r="E58" s="92"/>
      <c r="F58" s="93"/>
      <c r="G58" s="92"/>
      <c r="H58" s="92"/>
      <c r="I58" s="92"/>
      <c r="J58" s="92"/>
      <c r="K58" s="96"/>
      <c r="L58" s="92"/>
      <c r="M58" s="92"/>
      <c r="N58" s="96"/>
      <c r="O58" s="95"/>
    </row>
    <row r="59" spans="1:15" x14ac:dyDescent="0.25">
      <c r="A59" s="92" t="s">
        <v>86</v>
      </c>
      <c r="B59" s="106"/>
      <c r="C59" s="92" t="str">
        <f t="shared" si="1"/>
        <v>Protein Granola Bar-</v>
      </c>
      <c r="D59" s="92" t="s">
        <v>302</v>
      </c>
      <c r="E59" s="92"/>
      <c r="F59" s="93"/>
      <c r="G59" s="92"/>
      <c r="H59" s="92"/>
      <c r="I59" s="92"/>
      <c r="J59" s="92"/>
      <c r="K59" s="96"/>
      <c r="L59" s="92"/>
      <c r="M59" s="92"/>
      <c r="N59" s="96"/>
      <c r="O59" s="95"/>
    </row>
    <row r="60" spans="1:15" x14ac:dyDescent="0.25">
      <c r="A60" s="92"/>
      <c r="B60" s="106"/>
      <c r="C60" s="92" t="str">
        <f t="shared" si="1"/>
        <v>-</v>
      </c>
      <c r="D60" s="92"/>
      <c r="E60" s="92"/>
      <c r="F60" s="93"/>
      <c r="G60" s="92"/>
      <c r="H60" s="92"/>
      <c r="I60" s="92"/>
      <c r="J60" s="92"/>
      <c r="K60" s="96"/>
      <c r="L60" s="92"/>
      <c r="M60" s="92"/>
      <c r="N60" s="96"/>
      <c r="O60" s="95"/>
    </row>
    <row r="61" spans="1:15" x14ac:dyDescent="0.25">
      <c r="A61" s="92" t="s">
        <v>303</v>
      </c>
      <c r="B61" s="106"/>
      <c r="C61" s="92" t="str">
        <f t="shared" si="1"/>
        <v>Almond Bar-</v>
      </c>
      <c r="D61" s="92"/>
      <c r="E61" s="92" t="s">
        <v>304</v>
      </c>
      <c r="F61" s="93"/>
      <c r="G61" s="92">
        <v>3.97</v>
      </c>
      <c r="H61" s="92">
        <f>43*4</f>
        <v>172</v>
      </c>
      <c r="I61" s="92" t="s">
        <v>26</v>
      </c>
      <c r="J61" s="14">
        <f t="shared" ref="J61" si="17">ROUND(G61/H61,3)</f>
        <v>2.3E-2</v>
      </c>
      <c r="K61" s="57" t="str">
        <f>CONCATENATE("$/",I61)</f>
        <v>$/g</v>
      </c>
      <c r="L61" s="92"/>
      <c r="M61" s="92"/>
      <c r="N61" s="94">
        <f>L61/J61</f>
        <v>0</v>
      </c>
      <c r="O61" s="95"/>
    </row>
    <row r="62" spans="1:15" x14ac:dyDescent="0.25">
      <c r="A62" s="92" t="s">
        <v>303</v>
      </c>
      <c r="B62" s="106"/>
      <c r="C62" s="92" t="str">
        <f t="shared" si="1"/>
        <v>Almond Bar-</v>
      </c>
      <c r="D62" s="92"/>
      <c r="E62" s="92" t="s">
        <v>305</v>
      </c>
      <c r="F62" s="93"/>
      <c r="G62" s="92">
        <v>7.81</v>
      </c>
      <c r="H62" s="92">
        <f>6*43</f>
        <v>258</v>
      </c>
      <c r="I62" s="92" t="s">
        <v>26</v>
      </c>
      <c r="J62" s="14">
        <f t="shared" ref="J62:J63" si="18">ROUND(G62/H62,3)</f>
        <v>0.03</v>
      </c>
      <c r="K62" s="57" t="str">
        <f>CONCATENATE("$/",I62)</f>
        <v>$/g</v>
      </c>
      <c r="L62" s="92"/>
      <c r="M62" s="92"/>
      <c r="N62" s="96"/>
      <c r="O62" s="95"/>
    </row>
    <row r="63" spans="1:15" x14ac:dyDescent="0.25">
      <c r="A63" s="92" t="s">
        <v>303</v>
      </c>
      <c r="B63" s="106"/>
      <c r="C63" s="92" t="str">
        <f t="shared" ref="C63" si="19">CONCATENATE(A63,"-",B63)</f>
        <v>Almond Bar-</v>
      </c>
      <c r="D63" s="92"/>
      <c r="E63" s="92" t="s">
        <v>306</v>
      </c>
      <c r="F63" s="93"/>
      <c r="G63" s="92">
        <v>4.12</v>
      </c>
      <c r="H63" s="92">
        <f>43*4</f>
        <v>172</v>
      </c>
      <c r="I63" s="92" t="s">
        <v>26</v>
      </c>
      <c r="J63" s="14">
        <f t="shared" si="18"/>
        <v>2.4E-2</v>
      </c>
      <c r="K63" s="57" t="str">
        <f>CONCATENATE("$/",I63)</f>
        <v>$/g</v>
      </c>
      <c r="L63" s="92"/>
      <c r="M63" s="92"/>
      <c r="N63" s="96"/>
      <c r="O63" s="95"/>
    </row>
    <row r="64" spans="1:15" x14ac:dyDescent="0.25">
      <c r="A64" s="92" t="s">
        <v>303</v>
      </c>
      <c r="B64" s="106"/>
      <c r="C64" s="92" t="str">
        <f t="shared" si="1"/>
        <v>Almond Bar-</v>
      </c>
      <c r="D64" s="92"/>
      <c r="E64" s="92" t="s">
        <v>306</v>
      </c>
      <c r="F64" s="93"/>
      <c r="G64" s="92">
        <v>2.38</v>
      </c>
      <c r="H64" s="92">
        <v>100</v>
      </c>
      <c r="I64" s="92" t="s">
        <v>26</v>
      </c>
      <c r="J64" s="14">
        <f t="shared" ref="J64" si="20">ROUND(G64/H64,3)</f>
        <v>2.4E-2</v>
      </c>
      <c r="K64" s="57" t="str">
        <f>CONCATENATE("$/",I64)</f>
        <v>$/g</v>
      </c>
      <c r="L64" s="92"/>
      <c r="M64" s="92"/>
      <c r="N64" s="96"/>
      <c r="O64" s="95"/>
    </row>
    <row r="65" spans="1:15" x14ac:dyDescent="0.25">
      <c r="A65" s="92" t="s">
        <v>303</v>
      </c>
      <c r="B65" s="106"/>
      <c r="C65" s="92" t="str">
        <f t="shared" si="1"/>
        <v>Almond Bar-</v>
      </c>
      <c r="D65" s="92" t="s">
        <v>307</v>
      </c>
      <c r="E65" s="99" t="s">
        <v>291</v>
      </c>
      <c r="F65" s="93"/>
      <c r="G65" s="92">
        <v>46</v>
      </c>
      <c r="H65" s="92">
        <f>36*43</f>
        <v>1548</v>
      </c>
      <c r="I65" s="92" t="s">
        <v>26</v>
      </c>
      <c r="J65" s="14">
        <f t="shared" ref="J65" si="21">ROUND(G65/H65,3)</f>
        <v>0.03</v>
      </c>
      <c r="K65" s="57" t="str">
        <f>CONCATENATE("$/",I65)</f>
        <v>$/g</v>
      </c>
      <c r="L65" s="92"/>
      <c r="M65" s="92"/>
      <c r="N65" s="96"/>
      <c r="O65" s="95"/>
    </row>
    <row r="66" spans="1:15" x14ac:dyDescent="0.25">
      <c r="A66" s="92" t="s">
        <v>303</v>
      </c>
      <c r="B66" s="106"/>
      <c r="C66" s="92" t="str">
        <f t="shared" ref="C66:C86" si="22">CONCATENATE(A66,"-",B66)</f>
        <v>Almond Bar-</v>
      </c>
      <c r="D66" s="92"/>
      <c r="E66" s="92" t="s">
        <v>275</v>
      </c>
      <c r="F66" s="93"/>
      <c r="G66" s="92">
        <v>4.29</v>
      </c>
      <c r="H66" s="92">
        <f>4*43</f>
        <v>172</v>
      </c>
      <c r="I66" s="92" t="s">
        <v>26</v>
      </c>
      <c r="J66" s="14">
        <f t="shared" ref="J66:J86" si="23">ROUND(G66/H66,3)</f>
        <v>2.5000000000000001E-2</v>
      </c>
      <c r="K66" s="57" t="str">
        <f t="shared" ref="K66:K86" si="24">CONCATENATE("$/",I66)</f>
        <v>$/g</v>
      </c>
      <c r="L66" s="92"/>
      <c r="M66" s="92"/>
      <c r="N66" s="96"/>
      <c r="O66" s="95"/>
    </row>
    <row r="67" spans="1:15" x14ac:dyDescent="0.25">
      <c r="A67" s="92" t="s">
        <v>303</v>
      </c>
      <c r="B67" s="106" t="s">
        <v>280</v>
      </c>
      <c r="C67" s="92" t="str">
        <f t="shared" si="22"/>
        <v>Almond Bar-Y</v>
      </c>
      <c r="D67" s="92"/>
      <c r="E67" s="99" t="s">
        <v>271</v>
      </c>
      <c r="F67" s="93"/>
      <c r="G67" s="92">
        <v>0.88</v>
      </c>
      <c r="H67" s="92">
        <v>43</v>
      </c>
      <c r="I67" s="92" t="s">
        <v>26</v>
      </c>
      <c r="J67" s="14">
        <f t="shared" si="23"/>
        <v>0.02</v>
      </c>
      <c r="K67" s="57" t="str">
        <f t="shared" si="24"/>
        <v>$/g</v>
      </c>
      <c r="L67" s="92"/>
      <c r="M67" s="92"/>
      <c r="N67" s="96"/>
      <c r="O67" s="95"/>
    </row>
    <row r="68" spans="1:15" x14ac:dyDescent="0.25">
      <c r="A68" s="92"/>
      <c r="B68" s="106"/>
      <c r="C68" s="92" t="str">
        <f t="shared" si="22"/>
        <v>-</v>
      </c>
      <c r="D68" s="92"/>
      <c r="E68" s="92"/>
      <c r="F68" s="93"/>
      <c r="G68" s="92"/>
      <c r="H68" s="92"/>
      <c r="I68" s="92"/>
      <c r="J68" s="14" t="e">
        <f t="shared" si="23"/>
        <v>#DIV/0!</v>
      </c>
      <c r="K68" s="57" t="str">
        <f t="shared" si="24"/>
        <v>$/</v>
      </c>
      <c r="L68" s="92"/>
      <c r="M68" s="92"/>
      <c r="N68" s="96"/>
      <c r="O68" s="95"/>
    </row>
    <row r="69" spans="1:15" x14ac:dyDescent="0.25">
      <c r="A69" s="92"/>
      <c r="B69" s="106"/>
      <c r="C69" s="92" t="str">
        <f t="shared" si="22"/>
        <v>-</v>
      </c>
      <c r="D69" s="92"/>
      <c r="E69" s="92"/>
      <c r="F69" s="93"/>
      <c r="G69" s="92"/>
      <c r="H69" s="92"/>
      <c r="I69" s="92"/>
      <c r="J69" s="14" t="e">
        <f t="shared" si="23"/>
        <v>#DIV/0!</v>
      </c>
      <c r="K69" s="57" t="str">
        <f t="shared" si="24"/>
        <v>$/</v>
      </c>
      <c r="L69" s="92"/>
      <c r="M69" s="92"/>
      <c r="N69" s="96"/>
      <c r="O69" s="95"/>
    </row>
    <row r="70" spans="1:15" x14ac:dyDescent="0.25">
      <c r="A70" s="92"/>
      <c r="B70" s="106"/>
      <c r="C70" s="92" t="str">
        <f t="shared" si="22"/>
        <v>-</v>
      </c>
      <c r="D70" s="92"/>
      <c r="E70" s="92"/>
      <c r="F70" s="93"/>
      <c r="G70" s="92"/>
      <c r="H70" s="92"/>
      <c r="I70" s="92"/>
      <c r="J70" s="14" t="e">
        <f t="shared" si="23"/>
        <v>#DIV/0!</v>
      </c>
      <c r="K70" s="57" t="str">
        <f t="shared" si="24"/>
        <v>$/</v>
      </c>
      <c r="L70" s="92"/>
      <c r="M70" s="92"/>
      <c r="N70" s="96"/>
      <c r="O70" s="95"/>
    </row>
    <row r="71" spans="1:15" x14ac:dyDescent="0.25">
      <c r="A71" s="92"/>
      <c r="B71" s="106"/>
      <c r="C71" s="92" t="str">
        <f t="shared" si="22"/>
        <v>-</v>
      </c>
      <c r="D71" s="92"/>
      <c r="E71" s="92"/>
      <c r="F71" s="93"/>
      <c r="G71" s="92"/>
      <c r="H71" s="92"/>
      <c r="I71" s="92"/>
      <c r="J71" s="14" t="e">
        <f t="shared" si="23"/>
        <v>#DIV/0!</v>
      </c>
      <c r="K71" s="57" t="str">
        <f t="shared" si="24"/>
        <v>$/</v>
      </c>
      <c r="L71" s="92"/>
      <c r="M71" s="92"/>
      <c r="N71" s="96"/>
      <c r="O71" s="95"/>
    </row>
    <row r="72" spans="1:15" x14ac:dyDescent="0.25">
      <c r="A72" s="92"/>
      <c r="B72" s="106"/>
      <c r="C72" s="92" t="str">
        <f t="shared" si="22"/>
        <v>-</v>
      </c>
      <c r="D72" s="92"/>
      <c r="E72" s="92"/>
      <c r="F72" s="93"/>
      <c r="G72" s="92"/>
      <c r="H72" s="92"/>
      <c r="I72" s="92"/>
      <c r="J72" s="14" t="e">
        <f t="shared" si="23"/>
        <v>#DIV/0!</v>
      </c>
      <c r="K72" s="57" t="str">
        <f t="shared" si="24"/>
        <v>$/</v>
      </c>
      <c r="L72" s="92"/>
      <c r="M72" s="92"/>
      <c r="N72" s="96"/>
      <c r="O72" s="95"/>
    </row>
    <row r="73" spans="1:15" x14ac:dyDescent="0.25">
      <c r="A73" s="92"/>
      <c r="B73" s="106"/>
      <c r="C73" s="92" t="str">
        <f t="shared" si="22"/>
        <v>-</v>
      </c>
      <c r="D73" s="92"/>
      <c r="E73" s="92"/>
      <c r="F73" s="93"/>
      <c r="G73" s="92"/>
      <c r="H73" s="92"/>
      <c r="I73" s="92"/>
      <c r="J73" s="14" t="e">
        <f t="shared" si="23"/>
        <v>#DIV/0!</v>
      </c>
      <c r="K73" s="57" t="str">
        <f t="shared" si="24"/>
        <v>$/</v>
      </c>
      <c r="L73" s="92"/>
      <c r="M73" s="92"/>
      <c r="N73" s="96"/>
      <c r="O73" s="95"/>
    </row>
    <row r="74" spans="1:15" x14ac:dyDescent="0.25">
      <c r="A74" s="92"/>
      <c r="B74" s="106"/>
      <c r="C74" s="92" t="str">
        <f t="shared" si="22"/>
        <v>-</v>
      </c>
      <c r="D74" s="92"/>
      <c r="E74" s="92"/>
      <c r="F74" s="93"/>
      <c r="G74" s="92"/>
      <c r="H74" s="92"/>
      <c r="I74" s="92"/>
      <c r="J74" s="14" t="e">
        <f t="shared" si="23"/>
        <v>#DIV/0!</v>
      </c>
      <c r="K74" s="57" t="str">
        <f t="shared" si="24"/>
        <v>$/</v>
      </c>
      <c r="L74" s="92"/>
      <c r="M74" s="92"/>
      <c r="N74" s="96"/>
      <c r="O74" s="95"/>
    </row>
    <row r="75" spans="1:15" x14ac:dyDescent="0.25">
      <c r="A75" s="92"/>
      <c r="B75" s="106"/>
      <c r="C75" s="92" t="str">
        <f t="shared" si="22"/>
        <v>-</v>
      </c>
      <c r="D75" s="92"/>
      <c r="E75" s="92"/>
      <c r="F75" s="93"/>
      <c r="G75" s="92"/>
      <c r="H75" s="92"/>
      <c r="I75" s="92"/>
      <c r="J75" s="14" t="e">
        <f t="shared" si="23"/>
        <v>#DIV/0!</v>
      </c>
      <c r="K75" s="57" t="str">
        <f t="shared" si="24"/>
        <v>$/</v>
      </c>
      <c r="L75" s="92"/>
      <c r="M75" s="92"/>
      <c r="N75" s="96"/>
      <c r="O75" s="95"/>
    </row>
    <row r="76" spans="1:15" x14ac:dyDescent="0.25">
      <c r="A76" s="92"/>
      <c r="B76" s="106"/>
      <c r="C76" s="92" t="str">
        <f t="shared" si="22"/>
        <v>-</v>
      </c>
      <c r="D76" s="92"/>
      <c r="E76" s="92"/>
      <c r="F76" s="93"/>
      <c r="G76" s="92"/>
      <c r="H76" s="92"/>
      <c r="I76" s="92"/>
      <c r="J76" s="14" t="e">
        <f t="shared" si="23"/>
        <v>#DIV/0!</v>
      </c>
      <c r="K76" s="57" t="str">
        <f t="shared" si="24"/>
        <v>$/</v>
      </c>
      <c r="L76" s="92"/>
      <c r="M76" s="92"/>
      <c r="N76" s="96"/>
      <c r="O76" s="95"/>
    </row>
    <row r="77" spans="1:15" x14ac:dyDescent="0.25">
      <c r="A77" s="92"/>
      <c r="B77" s="106"/>
      <c r="C77" s="92" t="str">
        <f t="shared" si="22"/>
        <v>-</v>
      </c>
      <c r="D77" s="92"/>
      <c r="E77" s="92"/>
      <c r="F77" s="93"/>
      <c r="G77" s="92"/>
      <c r="H77" s="92"/>
      <c r="I77" s="92"/>
      <c r="J77" s="14" t="e">
        <f t="shared" si="23"/>
        <v>#DIV/0!</v>
      </c>
      <c r="K77" s="57" t="str">
        <f t="shared" si="24"/>
        <v>$/</v>
      </c>
      <c r="L77" s="92"/>
      <c r="M77" s="92"/>
      <c r="N77" s="96"/>
      <c r="O77" s="95"/>
    </row>
    <row r="78" spans="1:15" x14ac:dyDescent="0.25">
      <c r="A78" s="92"/>
      <c r="B78" s="106"/>
      <c r="C78" s="92" t="str">
        <f t="shared" si="22"/>
        <v>-</v>
      </c>
      <c r="D78" s="92"/>
      <c r="E78" s="92"/>
      <c r="F78" s="93"/>
      <c r="G78" s="92"/>
      <c r="H78" s="92"/>
      <c r="I78" s="92"/>
      <c r="J78" s="14" t="e">
        <f t="shared" si="23"/>
        <v>#DIV/0!</v>
      </c>
      <c r="K78" s="57" t="str">
        <f t="shared" si="24"/>
        <v>$/</v>
      </c>
      <c r="L78" s="92"/>
      <c r="M78" s="92"/>
      <c r="N78" s="96"/>
      <c r="O78" s="95"/>
    </row>
    <row r="79" spans="1:15" x14ac:dyDescent="0.25">
      <c r="A79" s="92"/>
      <c r="B79" s="106"/>
      <c r="C79" s="92" t="str">
        <f t="shared" si="22"/>
        <v>-</v>
      </c>
      <c r="D79" s="92"/>
      <c r="E79" s="92"/>
      <c r="F79" s="93"/>
      <c r="G79" s="92"/>
      <c r="H79" s="92"/>
      <c r="I79" s="92"/>
      <c r="J79" s="14" t="e">
        <f t="shared" si="23"/>
        <v>#DIV/0!</v>
      </c>
      <c r="K79" s="57" t="str">
        <f t="shared" si="24"/>
        <v>$/</v>
      </c>
      <c r="L79" s="92"/>
      <c r="M79" s="92"/>
      <c r="N79" s="96"/>
      <c r="O79" s="95"/>
    </row>
    <row r="80" spans="1:15" x14ac:dyDescent="0.25">
      <c r="A80" s="92"/>
      <c r="B80" s="106"/>
      <c r="C80" s="92" t="str">
        <f t="shared" si="22"/>
        <v>-</v>
      </c>
      <c r="D80" s="92"/>
      <c r="E80" s="92"/>
      <c r="F80" s="93"/>
      <c r="G80" s="92"/>
      <c r="H80" s="92"/>
      <c r="I80" s="92"/>
      <c r="J80" s="14" t="e">
        <f t="shared" si="23"/>
        <v>#DIV/0!</v>
      </c>
      <c r="K80" s="57" t="str">
        <f t="shared" si="24"/>
        <v>$/</v>
      </c>
      <c r="L80" s="92"/>
      <c r="M80" s="92"/>
      <c r="N80" s="96"/>
      <c r="O80" s="95"/>
    </row>
    <row r="81" spans="1:15" x14ac:dyDescent="0.25">
      <c r="A81" s="92"/>
      <c r="B81" s="106"/>
      <c r="C81" s="92" t="str">
        <f t="shared" si="22"/>
        <v>-</v>
      </c>
      <c r="D81" s="92"/>
      <c r="E81" s="92"/>
      <c r="F81" s="93"/>
      <c r="G81" s="92"/>
      <c r="H81" s="92"/>
      <c r="I81" s="92"/>
      <c r="J81" s="14" t="e">
        <f t="shared" si="23"/>
        <v>#DIV/0!</v>
      </c>
      <c r="K81" s="57" t="str">
        <f t="shared" si="24"/>
        <v>$/</v>
      </c>
      <c r="L81" s="92"/>
      <c r="M81" s="92"/>
      <c r="N81" s="96"/>
      <c r="O81" s="95"/>
    </row>
    <row r="82" spans="1:15" x14ac:dyDescent="0.25">
      <c r="A82" s="92"/>
      <c r="B82" s="106"/>
      <c r="C82" s="92" t="str">
        <f t="shared" si="22"/>
        <v>-</v>
      </c>
      <c r="D82" s="92"/>
      <c r="E82" s="92"/>
      <c r="F82" s="93"/>
      <c r="G82" s="92"/>
      <c r="H82" s="92"/>
      <c r="I82" s="92"/>
      <c r="J82" s="14" t="e">
        <f t="shared" si="23"/>
        <v>#DIV/0!</v>
      </c>
      <c r="K82" s="57" t="str">
        <f t="shared" si="24"/>
        <v>$/</v>
      </c>
      <c r="L82" s="92"/>
      <c r="M82" s="92"/>
      <c r="N82" s="96"/>
      <c r="O82" s="95"/>
    </row>
    <row r="83" spans="1:15" x14ac:dyDescent="0.25">
      <c r="A83" s="92"/>
      <c r="B83" s="106"/>
      <c r="C83" s="92" t="str">
        <f t="shared" si="22"/>
        <v>-</v>
      </c>
      <c r="D83" s="92"/>
      <c r="E83" s="92"/>
      <c r="F83" s="93"/>
      <c r="G83" s="92"/>
      <c r="H83" s="92"/>
      <c r="I83" s="92"/>
      <c r="J83" s="14" t="e">
        <f t="shared" si="23"/>
        <v>#DIV/0!</v>
      </c>
      <c r="K83" s="57" t="str">
        <f t="shared" si="24"/>
        <v>$/</v>
      </c>
      <c r="L83" s="92"/>
      <c r="M83" s="92"/>
      <c r="N83" s="96"/>
      <c r="O83" s="95"/>
    </row>
    <row r="84" spans="1:15" x14ac:dyDescent="0.25">
      <c r="A84" s="92"/>
      <c r="B84" s="106"/>
      <c r="C84" s="92" t="str">
        <f t="shared" si="22"/>
        <v>-</v>
      </c>
      <c r="D84" s="92"/>
      <c r="E84" s="92"/>
      <c r="F84" s="93"/>
      <c r="G84" s="92"/>
      <c r="H84" s="92"/>
      <c r="I84" s="92"/>
      <c r="J84" s="14" t="e">
        <f t="shared" si="23"/>
        <v>#DIV/0!</v>
      </c>
      <c r="K84" s="57" t="str">
        <f t="shared" si="24"/>
        <v>$/</v>
      </c>
      <c r="L84" s="92"/>
      <c r="M84" s="92"/>
      <c r="N84" s="96"/>
      <c r="O84" s="95"/>
    </row>
    <row r="85" spans="1:15" x14ac:dyDescent="0.25">
      <c r="A85" s="92"/>
      <c r="B85" s="106"/>
      <c r="C85" s="92" t="str">
        <f t="shared" si="22"/>
        <v>-</v>
      </c>
      <c r="D85" s="92"/>
      <c r="E85" s="92"/>
      <c r="F85" s="93"/>
      <c r="G85" s="92"/>
      <c r="H85" s="92"/>
      <c r="I85" s="92"/>
      <c r="J85" s="14" t="e">
        <f t="shared" si="23"/>
        <v>#DIV/0!</v>
      </c>
      <c r="K85" s="57" t="str">
        <f t="shared" si="24"/>
        <v>$/</v>
      </c>
      <c r="L85" s="92"/>
      <c r="M85" s="92"/>
      <c r="N85" s="96"/>
      <c r="O85" s="95"/>
    </row>
    <row r="86" spans="1:15" x14ac:dyDescent="0.25">
      <c r="A86" s="92"/>
      <c r="B86" s="106"/>
      <c r="C86" s="92" t="str">
        <f t="shared" si="22"/>
        <v>-</v>
      </c>
      <c r="D86" s="92"/>
      <c r="E86" s="92"/>
      <c r="F86" s="93"/>
      <c r="G86" s="92"/>
      <c r="H86" s="92"/>
      <c r="I86" s="92"/>
      <c r="J86" s="14" t="e">
        <f t="shared" si="23"/>
        <v>#DIV/0!</v>
      </c>
      <c r="K86" s="57" t="str">
        <f t="shared" si="24"/>
        <v>$/</v>
      </c>
      <c r="L86" s="92"/>
      <c r="M86" s="92"/>
      <c r="N86" s="96"/>
      <c r="O86" s="95"/>
    </row>
  </sheetData>
  <conditionalFormatting sqref="J14:J22 J24:J27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23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dataValidations count="1">
    <dataValidation type="list" allowBlank="1" showInputMessage="1" showErrorMessage="1" sqref="B2:B86" xr:uid="{00000000-0002-0000-0500-000000000000}">
      <formula1>"Y, "</formula1>
    </dataValidation>
  </dataValidations>
  <hyperlinks>
    <hyperlink ref="F7" r:id="rId1" xr:uid="{00000000-0004-0000-0500-000000000000}"/>
    <hyperlink ref="E17" r:id="rId2" xr:uid="{00000000-0004-0000-0500-000001000000}"/>
    <hyperlink ref="E18" r:id="rId3" xr:uid="{00000000-0004-0000-0500-000002000000}"/>
    <hyperlink ref="E19:E21" r:id="rId4" display="Amazon" xr:uid="{00000000-0004-0000-0500-000003000000}"/>
    <hyperlink ref="E22" r:id="rId5" xr:uid="{00000000-0004-0000-0500-000004000000}"/>
    <hyperlink ref="E65" r:id="rId6" xr:uid="{00000000-0004-0000-0500-000005000000}"/>
    <hyperlink ref="E67" r:id="rId7" xr:uid="{00000000-0004-0000-0500-000006000000}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500-000001000000}">
          <x14:formula1>
            <xm:f>Ingredients!$A$2:$A$77</xm:f>
          </x14:formula1>
          <xm:sqref>A2:A86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filterMode="1">
    <tabColor theme="0"/>
  </sheetPr>
  <dimension ref="A1:J52"/>
  <sheetViews>
    <sheetView workbookViewId="0">
      <selection activeCell="G16" sqref="G16"/>
    </sheetView>
  </sheetViews>
  <sheetFormatPr defaultRowHeight="15" x14ac:dyDescent="0.25"/>
  <cols>
    <col min="1" max="1" width="35.7109375" bestFit="1" customWidth="1"/>
    <col min="2" max="2" width="13.28515625" bestFit="1" customWidth="1"/>
    <col min="3" max="3" width="8.140625" bestFit="1" customWidth="1"/>
    <col min="4" max="4" width="12.7109375" bestFit="1" customWidth="1"/>
    <col min="5" max="5" width="11.140625" customWidth="1"/>
    <col min="6" max="6" width="19" customWidth="1"/>
    <col min="7" max="7" width="48.28515625" customWidth="1"/>
    <col min="8" max="8" width="20" customWidth="1"/>
    <col min="9" max="9" width="8.7109375" customWidth="1"/>
    <col min="10" max="10" width="17" customWidth="1"/>
  </cols>
  <sheetData>
    <row r="1" spans="1:10" ht="15.75" thickBot="1" x14ac:dyDescent="0.3">
      <c r="A1" s="25" t="s">
        <v>1</v>
      </c>
      <c r="B1" s="26" t="s">
        <v>308</v>
      </c>
      <c r="C1" s="27" t="s">
        <v>132</v>
      </c>
      <c r="D1" s="34" t="s">
        <v>8</v>
      </c>
      <c r="E1" s="193" t="s">
        <v>309</v>
      </c>
      <c r="F1" s="194"/>
      <c r="G1" s="41" t="s">
        <v>310</v>
      </c>
      <c r="H1" s="42" t="s">
        <v>311</v>
      </c>
      <c r="I1" s="1"/>
      <c r="J1" s="1"/>
    </row>
    <row r="2" spans="1:10" x14ac:dyDescent="0.25">
      <c r="A2" s="23" t="s">
        <v>17</v>
      </c>
      <c r="B2" s="10" t="s">
        <v>18</v>
      </c>
      <c r="C2" s="24">
        <v>320</v>
      </c>
      <c r="D2" s="35">
        <v>24</v>
      </c>
      <c r="E2" s="36">
        <f>D2</f>
        <v>24</v>
      </c>
      <c r="F2" s="37" t="str">
        <f>B2</f>
        <v>cup</v>
      </c>
      <c r="G2" t="s">
        <v>312</v>
      </c>
      <c r="H2" s="1" t="s">
        <v>313</v>
      </c>
      <c r="I2" s="1">
        <f>C39/4</f>
        <v>2.25</v>
      </c>
      <c r="J2" s="1" t="s">
        <v>314</v>
      </c>
    </row>
    <row r="3" spans="1:10" x14ac:dyDescent="0.25">
      <c r="A3" s="20" t="s">
        <v>20</v>
      </c>
      <c r="B3" s="1" t="s">
        <v>21</v>
      </c>
      <c r="C3" s="11">
        <v>130</v>
      </c>
      <c r="D3" s="178">
        <v>24</v>
      </c>
      <c r="E3" s="20">
        <f>D3</f>
        <v>24</v>
      </c>
      <c r="F3" s="7" t="str">
        <f>B3</f>
        <v>package</v>
      </c>
      <c r="G3" t="s">
        <v>315</v>
      </c>
      <c r="H3" s="1" t="s">
        <v>316</v>
      </c>
      <c r="I3" s="1">
        <v>5</v>
      </c>
      <c r="J3" s="1" t="s">
        <v>317</v>
      </c>
    </row>
    <row r="4" spans="1:10" x14ac:dyDescent="0.25">
      <c r="A4" s="20" t="s">
        <v>299</v>
      </c>
      <c r="B4" s="1" t="s">
        <v>25</v>
      </c>
      <c r="C4" s="11">
        <v>60</v>
      </c>
      <c r="D4" s="178">
        <v>102</v>
      </c>
      <c r="E4" s="20">
        <f>D4*I4*I3/1000</f>
        <v>1.53</v>
      </c>
      <c r="F4" s="7" t="s">
        <v>19</v>
      </c>
      <c r="G4" t="s">
        <v>312</v>
      </c>
      <c r="H4" s="1" t="s">
        <v>130</v>
      </c>
      <c r="I4" s="1">
        <v>3</v>
      </c>
      <c r="J4" s="1" t="s">
        <v>318</v>
      </c>
    </row>
    <row r="5" spans="1:10" x14ac:dyDescent="0.25">
      <c r="A5" s="20" t="s">
        <v>28</v>
      </c>
      <c r="B5" s="1" t="s">
        <v>25</v>
      </c>
      <c r="C5" s="11">
        <v>120</v>
      </c>
      <c r="D5" s="178">
        <v>36</v>
      </c>
      <c r="E5" s="20">
        <f>D5*I5</f>
        <v>18</v>
      </c>
      <c r="F5" s="7" t="s">
        <v>319</v>
      </c>
      <c r="G5" t="s">
        <v>312</v>
      </c>
      <c r="H5" s="1" t="s">
        <v>130</v>
      </c>
      <c r="I5" s="1">
        <v>0.5</v>
      </c>
      <c r="J5" s="1" t="s">
        <v>320</v>
      </c>
    </row>
    <row r="6" spans="1:10" x14ac:dyDescent="0.25">
      <c r="A6" s="20" t="s">
        <v>30</v>
      </c>
      <c r="B6" s="1" t="s">
        <v>21</v>
      </c>
      <c r="C6" s="11">
        <v>70</v>
      </c>
      <c r="D6" s="178">
        <v>16.5</v>
      </c>
      <c r="E6" s="20">
        <f>D6</f>
        <v>16.5</v>
      </c>
      <c r="F6" s="7" t="str">
        <f>B6</f>
        <v>package</v>
      </c>
      <c r="G6" s="45" t="s">
        <v>321</v>
      </c>
      <c r="H6" s="1" t="s">
        <v>47</v>
      </c>
      <c r="I6" s="1">
        <v>14</v>
      </c>
      <c r="J6" s="1" t="s">
        <v>322</v>
      </c>
    </row>
    <row r="7" spans="1:10" x14ac:dyDescent="0.25">
      <c r="A7" s="20" t="s">
        <v>32</v>
      </c>
      <c r="B7" s="1" t="s">
        <v>18</v>
      </c>
      <c r="C7" s="11">
        <v>828</v>
      </c>
      <c r="D7" s="178">
        <v>1.25</v>
      </c>
      <c r="E7" s="20">
        <f>D7</f>
        <v>1.25</v>
      </c>
      <c r="F7" s="7" t="str">
        <f>B7</f>
        <v>cup</v>
      </c>
      <c r="G7" t="s">
        <v>323</v>
      </c>
      <c r="H7" s="1" t="s">
        <v>324</v>
      </c>
      <c r="I7" s="1">
        <v>8</v>
      </c>
      <c r="J7" s="1" t="s">
        <v>322</v>
      </c>
    </row>
    <row r="8" spans="1:10" x14ac:dyDescent="0.25">
      <c r="A8" s="20" t="s">
        <v>33</v>
      </c>
      <c r="B8" s="1" t="s">
        <v>18</v>
      </c>
      <c r="C8" s="11">
        <v>200</v>
      </c>
      <c r="D8" s="178">
        <v>9</v>
      </c>
      <c r="E8" s="20">
        <f>D8</f>
        <v>9</v>
      </c>
      <c r="F8" s="7" t="str">
        <f>B8</f>
        <v>cup</v>
      </c>
      <c r="G8" t="s">
        <v>325</v>
      </c>
    </row>
    <row r="9" spans="1:10" hidden="1" x14ac:dyDescent="0.25">
      <c r="A9" s="20" t="s">
        <v>296</v>
      </c>
      <c r="B9" s="1" t="s">
        <v>18</v>
      </c>
      <c r="C9" s="33">
        <v>140</v>
      </c>
      <c r="D9" s="178">
        <v>0</v>
      </c>
      <c r="E9" s="39"/>
      <c r="F9" s="40"/>
    </row>
    <row r="10" spans="1:10" x14ac:dyDescent="0.25">
      <c r="A10" s="20" t="s">
        <v>298</v>
      </c>
      <c r="B10" s="1" t="s">
        <v>25</v>
      </c>
      <c r="C10" s="11">
        <v>40</v>
      </c>
      <c r="D10" s="178">
        <v>9</v>
      </c>
      <c r="E10" s="20">
        <f>D10</f>
        <v>9</v>
      </c>
      <c r="F10" s="7" t="str">
        <f>B10</f>
        <v>tablespoon</v>
      </c>
      <c r="G10" t="s">
        <v>326</v>
      </c>
      <c r="H10" t="s">
        <v>327</v>
      </c>
    </row>
    <row r="11" spans="1:10" hidden="1" x14ac:dyDescent="0.25">
      <c r="A11" s="20" t="s">
        <v>37</v>
      </c>
      <c r="B11" s="1" t="s">
        <v>25</v>
      </c>
      <c r="C11" s="11"/>
      <c r="D11" s="178">
        <v>0</v>
      </c>
      <c r="E11" s="20"/>
      <c r="F11" s="7"/>
    </row>
    <row r="12" spans="1:10" hidden="1" x14ac:dyDescent="0.25">
      <c r="A12" s="20" t="s">
        <v>38</v>
      </c>
      <c r="B12" s="1" t="s">
        <v>21</v>
      </c>
      <c r="C12" s="11">
        <v>280</v>
      </c>
      <c r="D12" s="178">
        <v>0</v>
      </c>
      <c r="E12" s="20"/>
      <c r="F12" s="7"/>
    </row>
    <row r="13" spans="1:10" hidden="1" x14ac:dyDescent="0.25">
      <c r="A13" s="20" t="s">
        <v>39</v>
      </c>
      <c r="B13" s="1" t="s">
        <v>25</v>
      </c>
      <c r="C13" s="11">
        <v>20</v>
      </c>
      <c r="D13" s="178">
        <v>0</v>
      </c>
      <c r="E13" s="39"/>
      <c r="F13" s="40"/>
    </row>
    <row r="14" spans="1:10" x14ac:dyDescent="0.25">
      <c r="A14" s="20" t="s">
        <v>40</v>
      </c>
      <c r="B14" s="1" t="s">
        <v>18</v>
      </c>
      <c r="C14" s="11">
        <v>230</v>
      </c>
      <c r="D14" s="178">
        <v>1.25</v>
      </c>
      <c r="E14" s="20">
        <f>D14</f>
        <v>1.25</v>
      </c>
      <c r="F14" s="7" t="str">
        <f>B14</f>
        <v>cup</v>
      </c>
      <c r="G14" t="s">
        <v>323</v>
      </c>
    </row>
    <row r="15" spans="1:10" x14ac:dyDescent="0.25">
      <c r="A15" s="20" t="s">
        <v>41</v>
      </c>
      <c r="B15" s="1" t="s">
        <v>42</v>
      </c>
      <c r="C15" s="11">
        <v>30</v>
      </c>
      <c r="D15" s="178">
        <v>3</v>
      </c>
      <c r="E15" s="20">
        <f>D15</f>
        <v>3</v>
      </c>
      <c r="F15" s="7" t="str">
        <f>B15</f>
        <v>cube</v>
      </c>
      <c r="G15" t="s">
        <v>312</v>
      </c>
    </row>
    <row r="16" spans="1:10" x14ac:dyDescent="0.25">
      <c r="A16" s="20" t="s">
        <v>43</v>
      </c>
      <c r="B16" s="1" t="s">
        <v>25</v>
      </c>
      <c r="C16" s="11">
        <v>17</v>
      </c>
      <c r="D16" s="178">
        <v>9</v>
      </c>
      <c r="E16" s="20" t="s">
        <v>328</v>
      </c>
      <c r="F16" s="7"/>
      <c r="G16" t="s">
        <v>312</v>
      </c>
    </row>
    <row r="17" spans="1:8" x14ac:dyDescent="0.25">
      <c r="A17" s="20" t="s">
        <v>44</v>
      </c>
      <c r="B17" s="1" t="s">
        <v>21</v>
      </c>
      <c r="C17" s="11">
        <v>240</v>
      </c>
      <c r="D17" s="178">
        <v>12</v>
      </c>
      <c r="E17" s="20">
        <f>D17</f>
        <v>12</v>
      </c>
      <c r="F17" s="7" t="str">
        <f>B17</f>
        <v>package</v>
      </c>
      <c r="G17" t="s">
        <v>329</v>
      </c>
    </row>
    <row r="18" spans="1:8" x14ac:dyDescent="0.25">
      <c r="A18" s="20" t="s">
        <v>45</v>
      </c>
      <c r="B18" s="1" t="s">
        <v>46</v>
      </c>
      <c r="C18" s="11">
        <v>90</v>
      </c>
      <c r="D18" s="178">
        <v>32</v>
      </c>
      <c r="E18" s="20">
        <f>D18</f>
        <v>32</v>
      </c>
      <c r="F18" s="7" t="str">
        <f>B18</f>
        <v>piece</v>
      </c>
      <c r="G18" t="s">
        <v>330</v>
      </c>
    </row>
    <row r="19" spans="1:8" x14ac:dyDescent="0.25">
      <c r="A19" s="20" t="s">
        <v>47</v>
      </c>
      <c r="B19" s="1" t="s">
        <v>25</v>
      </c>
      <c r="C19" s="11">
        <v>94</v>
      </c>
      <c r="D19" s="178">
        <v>64</v>
      </c>
      <c r="E19" s="20">
        <f>D19*I6/1000</f>
        <v>0.89600000000000002</v>
      </c>
      <c r="F19" s="7" t="s">
        <v>19</v>
      </c>
      <c r="G19" t="s">
        <v>312</v>
      </c>
      <c r="H19" t="s">
        <v>331</v>
      </c>
    </row>
    <row r="20" spans="1:8" x14ac:dyDescent="0.25">
      <c r="A20" s="20" t="s">
        <v>49</v>
      </c>
      <c r="B20" s="1" t="s">
        <v>25</v>
      </c>
      <c r="C20" s="11">
        <v>7</v>
      </c>
      <c r="D20" s="178">
        <v>37</v>
      </c>
      <c r="E20" s="20">
        <f>D20</f>
        <v>37</v>
      </c>
      <c r="F20" s="7" t="str">
        <f>B20</f>
        <v>tablespoon</v>
      </c>
      <c r="G20" t="s">
        <v>323</v>
      </c>
    </row>
    <row r="21" spans="1:8" x14ac:dyDescent="0.25">
      <c r="A21" s="20" t="s">
        <v>50</v>
      </c>
      <c r="B21" s="1" t="s">
        <v>25</v>
      </c>
      <c r="C21" s="11">
        <v>80</v>
      </c>
      <c r="D21" s="178">
        <v>50</v>
      </c>
      <c r="E21" s="20">
        <f>D21</f>
        <v>50</v>
      </c>
      <c r="F21" s="7" t="str">
        <f>B21</f>
        <v>tablespoon</v>
      </c>
      <c r="G21" t="s">
        <v>323</v>
      </c>
    </row>
    <row r="22" spans="1:8" hidden="1" x14ac:dyDescent="0.25">
      <c r="A22" s="20" t="s">
        <v>332</v>
      </c>
      <c r="B22" s="1" t="s">
        <v>46</v>
      </c>
      <c r="C22" s="11">
        <v>77</v>
      </c>
      <c r="D22" s="178">
        <v>0</v>
      </c>
      <c r="E22" s="20"/>
      <c r="F22" s="7"/>
    </row>
    <row r="23" spans="1:8" hidden="1" x14ac:dyDescent="0.25">
      <c r="A23" s="20" t="s">
        <v>333</v>
      </c>
      <c r="B23" s="1" t="s">
        <v>46</v>
      </c>
      <c r="C23" s="12">
        <v>40</v>
      </c>
      <c r="D23" s="178">
        <v>0</v>
      </c>
      <c r="E23" s="39"/>
      <c r="F23" s="40"/>
    </row>
    <row r="24" spans="1:8" x14ac:dyDescent="0.25">
      <c r="A24" s="20" t="s">
        <v>54</v>
      </c>
      <c r="B24" s="1" t="s">
        <v>18</v>
      </c>
      <c r="C24" s="11">
        <v>339</v>
      </c>
      <c r="D24" s="178">
        <v>36</v>
      </c>
      <c r="E24" s="20">
        <f>D24</f>
        <v>36</v>
      </c>
      <c r="F24" s="7" t="str">
        <f>B24</f>
        <v>cup</v>
      </c>
      <c r="G24" t="s">
        <v>334</v>
      </c>
    </row>
    <row r="25" spans="1:8" x14ac:dyDescent="0.25">
      <c r="A25" s="20" t="s">
        <v>55</v>
      </c>
      <c r="B25" s="1" t="s">
        <v>25</v>
      </c>
      <c r="C25" s="11">
        <v>109</v>
      </c>
      <c r="D25" s="178">
        <v>23</v>
      </c>
      <c r="E25" s="20">
        <f>D25</f>
        <v>23</v>
      </c>
      <c r="F25" s="7" t="str">
        <f>B25</f>
        <v>tablespoon</v>
      </c>
      <c r="G25" t="s">
        <v>323</v>
      </c>
    </row>
    <row r="26" spans="1:8" x14ac:dyDescent="0.25">
      <c r="A26" s="20" t="s">
        <v>56</v>
      </c>
      <c r="B26" s="1" t="s">
        <v>25</v>
      </c>
      <c r="C26" s="11">
        <v>52</v>
      </c>
      <c r="D26" s="178">
        <v>18</v>
      </c>
      <c r="E26" s="20">
        <f>D26</f>
        <v>18</v>
      </c>
      <c r="F26" s="7" t="str">
        <f>B26</f>
        <v>tablespoon</v>
      </c>
      <c r="G26" t="s">
        <v>335</v>
      </c>
    </row>
    <row r="27" spans="1:8" x14ac:dyDescent="0.25">
      <c r="A27" s="20" t="s">
        <v>57</v>
      </c>
      <c r="B27" s="1" t="s">
        <v>18</v>
      </c>
      <c r="C27" s="12">
        <v>293</v>
      </c>
      <c r="D27" s="178">
        <v>24</v>
      </c>
      <c r="E27" s="20">
        <f>D27</f>
        <v>24</v>
      </c>
      <c r="F27" s="7" t="str">
        <f>B27</f>
        <v>cup</v>
      </c>
      <c r="G27" t="s">
        <v>312</v>
      </c>
    </row>
    <row r="28" spans="1:8" x14ac:dyDescent="0.25">
      <c r="A28" s="20" t="s">
        <v>58</v>
      </c>
      <c r="B28" s="1" t="s">
        <v>25</v>
      </c>
      <c r="C28" s="11">
        <v>22.5</v>
      </c>
      <c r="D28" s="178">
        <v>24</v>
      </c>
      <c r="E28" s="20">
        <f>D28*I7</f>
        <v>192</v>
      </c>
      <c r="F28" s="7" t="s">
        <v>336</v>
      </c>
      <c r="G28" t="s">
        <v>337</v>
      </c>
    </row>
    <row r="29" spans="1:8" x14ac:dyDescent="0.25">
      <c r="A29" s="20" t="s">
        <v>62</v>
      </c>
      <c r="B29" s="1" t="s">
        <v>46</v>
      </c>
      <c r="C29" s="11">
        <v>250</v>
      </c>
      <c r="D29" s="178">
        <v>48</v>
      </c>
      <c r="E29" s="20">
        <f>D29</f>
        <v>48</v>
      </c>
      <c r="F29" s="7" t="str">
        <f>B29</f>
        <v>piece</v>
      </c>
      <c r="G29" t="s">
        <v>312</v>
      </c>
    </row>
    <row r="30" spans="1:8" x14ac:dyDescent="0.25">
      <c r="A30" s="20" t="s">
        <v>65</v>
      </c>
      <c r="B30" s="1" t="s">
        <v>18</v>
      </c>
      <c r="C30" s="11">
        <v>754</v>
      </c>
      <c r="D30" s="178">
        <v>1.25</v>
      </c>
      <c r="E30" s="20">
        <f>D30</f>
        <v>1.25</v>
      </c>
      <c r="F30" s="7" t="str">
        <f>B30</f>
        <v>cup</v>
      </c>
      <c r="G30" t="s">
        <v>323</v>
      </c>
    </row>
    <row r="31" spans="1:8" hidden="1" x14ac:dyDescent="0.25">
      <c r="A31" s="20" t="s">
        <v>66</v>
      </c>
      <c r="B31" s="1" t="s">
        <v>21</v>
      </c>
      <c r="C31" s="11">
        <v>230</v>
      </c>
      <c r="D31" s="178">
        <v>0</v>
      </c>
      <c r="E31" s="39"/>
      <c r="F31" s="40"/>
    </row>
    <row r="32" spans="1:8" x14ac:dyDescent="0.25">
      <c r="A32" s="20" t="s">
        <v>67</v>
      </c>
      <c r="B32" s="1" t="s">
        <v>25</v>
      </c>
      <c r="C32" s="11">
        <v>35</v>
      </c>
      <c r="D32" s="178">
        <v>24</v>
      </c>
      <c r="E32" s="20">
        <f>D32</f>
        <v>24</v>
      </c>
      <c r="F32" s="7" t="str">
        <f>B32</f>
        <v>tablespoon</v>
      </c>
      <c r="G32" t="s">
        <v>312</v>
      </c>
    </row>
    <row r="33" spans="1:7" x14ac:dyDescent="0.25">
      <c r="A33" s="20" t="s">
        <v>69</v>
      </c>
      <c r="B33" s="1" t="s">
        <v>46</v>
      </c>
      <c r="C33" s="11">
        <v>25</v>
      </c>
      <c r="D33" s="178">
        <v>220</v>
      </c>
      <c r="E33" s="20">
        <f>D33</f>
        <v>220</v>
      </c>
      <c r="F33" s="7" t="str">
        <f>B33</f>
        <v>piece</v>
      </c>
      <c r="G33" t="s">
        <v>312</v>
      </c>
    </row>
    <row r="34" spans="1:7" hidden="1" x14ac:dyDescent="0.25">
      <c r="A34" s="20" t="s">
        <v>71</v>
      </c>
      <c r="B34" s="1" t="s">
        <v>18</v>
      </c>
      <c r="C34" s="11">
        <v>540</v>
      </c>
      <c r="D34" s="178">
        <v>0</v>
      </c>
      <c r="E34" s="20"/>
      <c r="F34" s="7"/>
    </row>
    <row r="35" spans="1:7" hidden="1" x14ac:dyDescent="0.25">
      <c r="A35" s="20" t="s">
        <v>72</v>
      </c>
      <c r="B35" s="1" t="s">
        <v>73</v>
      </c>
      <c r="C35" s="11">
        <v>20</v>
      </c>
      <c r="D35" s="178">
        <v>0</v>
      </c>
      <c r="E35" s="39"/>
      <c r="F35" s="40"/>
    </row>
    <row r="36" spans="1:7" x14ac:dyDescent="0.25">
      <c r="A36" s="20" t="s">
        <v>74</v>
      </c>
      <c r="B36" s="1" t="s">
        <v>75</v>
      </c>
      <c r="C36" s="11">
        <v>280</v>
      </c>
      <c r="D36" s="178">
        <v>3</v>
      </c>
      <c r="E36" s="20">
        <f>D36</f>
        <v>3</v>
      </c>
      <c r="F36" s="7" t="str">
        <f>B36</f>
        <v>package (cup)</v>
      </c>
      <c r="G36" t="s">
        <v>338</v>
      </c>
    </row>
    <row r="37" spans="1:7" x14ac:dyDescent="0.25">
      <c r="A37" s="20" t="s">
        <v>76</v>
      </c>
      <c r="B37" s="1" t="s">
        <v>46</v>
      </c>
      <c r="C37" s="11">
        <v>16</v>
      </c>
      <c r="D37" s="178">
        <v>5</v>
      </c>
      <c r="E37" s="20">
        <f>D37</f>
        <v>5</v>
      </c>
      <c r="F37" s="7" t="str">
        <f>B37</f>
        <v>piece</v>
      </c>
      <c r="G37" t="s">
        <v>323</v>
      </c>
    </row>
    <row r="38" spans="1:7" hidden="1" x14ac:dyDescent="0.25">
      <c r="A38" s="20" t="s">
        <v>77</v>
      </c>
      <c r="B38" s="1" t="s">
        <v>46</v>
      </c>
      <c r="C38" s="13">
        <v>0</v>
      </c>
      <c r="D38" s="178">
        <v>0</v>
      </c>
      <c r="E38" s="39"/>
      <c r="F38" s="40"/>
    </row>
    <row r="39" spans="1:7" x14ac:dyDescent="0.25">
      <c r="A39" s="20" t="s">
        <v>78</v>
      </c>
      <c r="B39" s="1" t="s">
        <v>46</v>
      </c>
      <c r="C39" s="11">
        <v>9</v>
      </c>
      <c r="D39" s="178">
        <v>1100</v>
      </c>
      <c r="E39" s="20">
        <f>D39*I2/1000</f>
        <v>2.4750000000000001</v>
      </c>
      <c r="F39" s="7" t="s">
        <v>19</v>
      </c>
      <c r="G39" t="s">
        <v>339</v>
      </c>
    </row>
    <row r="40" spans="1:7" hidden="1" x14ac:dyDescent="0.25">
      <c r="A40" s="20"/>
      <c r="B40" s="1"/>
      <c r="C40" s="11"/>
      <c r="D40" s="178">
        <v>0</v>
      </c>
      <c r="E40" s="20"/>
      <c r="F40" s="7"/>
    </row>
    <row r="41" spans="1:7" hidden="1" x14ac:dyDescent="0.25">
      <c r="A41" s="20"/>
      <c r="B41" s="1"/>
      <c r="C41" s="11"/>
      <c r="D41" s="178">
        <v>0</v>
      </c>
      <c r="E41" s="20"/>
      <c r="F41" s="7"/>
    </row>
    <row r="42" spans="1:7" hidden="1" x14ac:dyDescent="0.25">
      <c r="A42" s="20"/>
      <c r="B42" s="1"/>
      <c r="C42" s="11"/>
      <c r="D42" s="178">
        <v>0</v>
      </c>
      <c r="E42" s="20"/>
      <c r="F42" s="7"/>
    </row>
    <row r="43" spans="1:7" hidden="1" x14ac:dyDescent="0.25">
      <c r="A43" s="20"/>
      <c r="B43" s="1"/>
      <c r="C43" s="11"/>
      <c r="D43" s="178">
        <v>0</v>
      </c>
      <c r="E43" s="20"/>
      <c r="F43" s="7"/>
    </row>
    <row r="44" spans="1:7" hidden="1" x14ac:dyDescent="0.25">
      <c r="A44" s="20"/>
      <c r="B44" s="1"/>
      <c r="C44" s="11"/>
      <c r="D44" s="178">
        <v>0</v>
      </c>
      <c r="E44" s="20"/>
      <c r="F44" s="7"/>
    </row>
    <row r="45" spans="1:7" hidden="1" x14ac:dyDescent="0.25">
      <c r="A45" s="20"/>
      <c r="B45" s="1"/>
      <c r="C45" s="11"/>
      <c r="D45" s="178">
        <v>0</v>
      </c>
      <c r="E45" s="20"/>
      <c r="F45" s="7"/>
    </row>
    <row r="46" spans="1:7" hidden="1" x14ac:dyDescent="0.25">
      <c r="A46" s="20"/>
      <c r="B46" s="1"/>
      <c r="C46" s="11"/>
      <c r="D46" s="178">
        <v>0</v>
      </c>
      <c r="E46" s="20"/>
      <c r="F46" s="7"/>
    </row>
    <row r="47" spans="1:7" hidden="1" x14ac:dyDescent="0.25">
      <c r="A47" s="20"/>
      <c r="B47" s="1"/>
      <c r="C47" s="11"/>
      <c r="D47" s="178">
        <v>0</v>
      </c>
      <c r="E47" s="20"/>
      <c r="F47" s="7"/>
    </row>
    <row r="48" spans="1:7" ht="15.75" hidden="1" thickBot="1" x14ac:dyDescent="0.3">
      <c r="A48" s="21"/>
      <c r="B48" s="8"/>
      <c r="C48" s="22"/>
      <c r="D48" s="38">
        <v>0</v>
      </c>
      <c r="E48" s="21"/>
      <c r="F48" s="9"/>
    </row>
    <row r="52" spans="1:7" ht="21" x14ac:dyDescent="0.35">
      <c r="A52" s="44" t="s">
        <v>340</v>
      </c>
      <c r="B52" s="43"/>
      <c r="C52" s="43"/>
      <c r="D52" s="43"/>
      <c r="E52" s="43"/>
      <c r="F52" s="43"/>
      <c r="G52" s="43"/>
    </row>
  </sheetData>
  <autoFilter ref="A1:D48" xr:uid="{00000000-0009-0000-0000-000006000000}">
    <filterColumn colId="3">
      <filters>
        <filter val="1.25"/>
        <filter val="102"/>
        <filter val="1100"/>
        <filter val="12"/>
        <filter val="16.5"/>
        <filter val="18"/>
        <filter val="220"/>
        <filter val="23"/>
        <filter val="24"/>
        <filter val="3"/>
        <filter val="32"/>
        <filter val="36"/>
        <filter val="37"/>
        <filter val="48"/>
        <filter val="5"/>
        <filter val="50"/>
        <filter val="64"/>
        <filter val="9"/>
      </filters>
    </filterColumn>
  </autoFilter>
  <mergeCells count="1">
    <mergeCell ref="E1:F1"/>
  </mergeCells>
  <conditionalFormatting sqref="C1:C48">
    <cfRule type="containsBlanks" dxfId="3" priority="1">
      <formula>LEN(TRIM(C1))=0</formula>
    </cfRule>
  </conditionalFormatting>
  <pageMargins left="0.7" right="0.7" top="0.75" bottom="0.75" header="0.3" footer="0.3"/>
  <pageSetup orientation="landscape" horizontalDpi="4294967293" verticalDpi="0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filterMode="1">
    <tabColor theme="0"/>
  </sheetPr>
  <dimension ref="A1:L52"/>
  <sheetViews>
    <sheetView workbookViewId="0">
      <selection activeCell="D56" sqref="D56"/>
    </sheetView>
  </sheetViews>
  <sheetFormatPr defaultRowHeight="15" x14ac:dyDescent="0.25"/>
  <cols>
    <col min="1" max="1" width="35.7109375" bestFit="1" customWidth="1"/>
    <col min="2" max="2" width="13.28515625" bestFit="1" customWidth="1"/>
    <col min="3" max="3" width="8.140625" bestFit="1" customWidth="1"/>
    <col min="4" max="4" width="12.7109375" bestFit="1" customWidth="1"/>
    <col min="5" max="5" width="11.140625" customWidth="1"/>
    <col min="6" max="6" width="19" customWidth="1"/>
    <col min="7" max="7" width="48.28515625" customWidth="1"/>
    <col min="8" max="9" width="25.28515625" style="47" customWidth="1"/>
    <col min="10" max="10" width="20" customWidth="1"/>
    <col min="11" max="11" width="8.7109375" customWidth="1"/>
    <col min="12" max="12" width="17" customWidth="1"/>
  </cols>
  <sheetData>
    <row r="1" spans="1:12" ht="15.75" thickBot="1" x14ac:dyDescent="0.3">
      <c r="A1" s="25" t="s">
        <v>1</v>
      </c>
      <c r="B1" s="26" t="s">
        <v>308</v>
      </c>
      <c r="C1" s="27" t="s">
        <v>132</v>
      </c>
      <c r="D1" s="34" t="s">
        <v>8</v>
      </c>
      <c r="E1" s="193" t="s">
        <v>309</v>
      </c>
      <c r="F1" s="194"/>
      <c r="G1" s="41" t="s">
        <v>310</v>
      </c>
      <c r="H1" s="46" t="s">
        <v>341</v>
      </c>
      <c r="I1" s="46" t="s">
        <v>342</v>
      </c>
      <c r="J1" s="42" t="s">
        <v>311</v>
      </c>
      <c r="K1" s="1"/>
      <c r="L1" s="1"/>
    </row>
    <row r="2" spans="1:12" x14ac:dyDescent="0.25">
      <c r="A2" s="23" t="s">
        <v>17</v>
      </c>
      <c r="B2" s="10" t="s">
        <v>18</v>
      </c>
      <c r="C2" s="24">
        <v>320</v>
      </c>
      <c r="D2" s="35">
        <v>21</v>
      </c>
      <c r="E2" s="36">
        <f>D2</f>
        <v>21</v>
      </c>
      <c r="F2" s="37" t="str">
        <f>B2</f>
        <v>cup</v>
      </c>
      <c r="G2" t="s">
        <v>312</v>
      </c>
      <c r="I2" s="50">
        <f>E2-H2</f>
        <v>21</v>
      </c>
      <c r="J2" s="1" t="s">
        <v>313</v>
      </c>
      <c r="K2" s="1">
        <f>C39/4</f>
        <v>2.25</v>
      </c>
      <c r="L2" s="1" t="s">
        <v>314</v>
      </c>
    </row>
    <row r="3" spans="1:12" x14ac:dyDescent="0.25">
      <c r="A3" s="20" t="s">
        <v>20</v>
      </c>
      <c r="B3" s="1" t="s">
        <v>21</v>
      </c>
      <c r="C3" s="11">
        <v>130</v>
      </c>
      <c r="D3" s="178">
        <v>23</v>
      </c>
      <c r="E3" s="20">
        <f>D3</f>
        <v>23</v>
      </c>
      <c r="F3" s="7" t="str">
        <f>B3</f>
        <v>package</v>
      </c>
      <c r="G3" t="s">
        <v>315</v>
      </c>
      <c r="H3" s="47">
        <v>27</v>
      </c>
      <c r="I3" s="50">
        <f t="shared" ref="I3:I8" si="0">E3-H3</f>
        <v>-4</v>
      </c>
      <c r="J3" s="1" t="s">
        <v>316</v>
      </c>
      <c r="K3" s="1">
        <v>5</v>
      </c>
      <c r="L3" s="1" t="s">
        <v>317</v>
      </c>
    </row>
    <row r="4" spans="1:12" x14ac:dyDescent="0.25">
      <c r="A4" s="20" t="s">
        <v>299</v>
      </c>
      <c r="B4" s="1" t="s">
        <v>25</v>
      </c>
      <c r="C4" s="11">
        <v>60</v>
      </c>
      <c r="D4" s="178">
        <v>93</v>
      </c>
      <c r="E4" s="20">
        <f>D4*K4*K3/1000</f>
        <v>1.395</v>
      </c>
      <c r="F4" s="7" t="s">
        <v>19</v>
      </c>
      <c r="G4" t="s">
        <v>312</v>
      </c>
      <c r="I4" s="50">
        <f t="shared" si="0"/>
        <v>1.395</v>
      </c>
      <c r="J4" s="1" t="s">
        <v>130</v>
      </c>
      <c r="K4" s="1">
        <v>3</v>
      </c>
      <c r="L4" s="1" t="s">
        <v>318</v>
      </c>
    </row>
    <row r="5" spans="1:12" x14ac:dyDescent="0.25">
      <c r="A5" s="20" t="s">
        <v>28</v>
      </c>
      <c r="B5" s="1" t="s">
        <v>25</v>
      </c>
      <c r="C5" s="11">
        <v>120</v>
      </c>
      <c r="D5" s="178">
        <v>33</v>
      </c>
      <c r="E5" s="20">
        <f>D5*K5</f>
        <v>16.5</v>
      </c>
      <c r="F5" s="7" t="s">
        <v>319</v>
      </c>
      <c r="G5" t="s">
        <v>312</v>
      </c>
      <c r="I5" s="50">
        <f t="shared" si="0"/>
        <v>16.5</v>
      </c>
      <c r="J5" s="1" t="s">
        <v>130</v>
      </c>
      <c r="K5" s="1">
        <v>0.5</v>
      </c>
      <c r="L5" s="1" t="s">
        <v>320</v>
      </c>
    </row>
    <row r="6" spans="1:12" x14ac:dyDescent="0.25">
      <c r="A6" s="20" t="s">
        <v>30</v>
      </c>
      <c r="B6" s="1" t="s">
        <v>21</v>
      </c>
      <c r="C6" s="11">
        <v>70</v>
      </c>
      <c r="D6" s="178">
        <v>15</v>
      </c>
      <c r="E6" s="20">
        <f>D6</f>
        <v>15</v>
      </c>
      <c r="F6" s="7" t="str">
        <f>B6</f>
        <v>package</v>
      </c>
      <c r="G6" s="45" t="s">
        <v>321</v>
      </c>
      <c r="H6" s="48">
        <v>12</v>
      </c>
      <c r="I6" s="50">
        <f t="shared" si="0"/>
        <v>3</v>
      </c>
      <c r="J6" s="1" t="s">
        <v>47</v>
      </c>
      <c r="K6" s="1">
        <v>14</v>
      </c>
      <c r="L6" s="1" t="s">
        <v>322</v>
      </c>
    </row>
    <row r="7" spans="1:12" x14ac:dyDescent="0.25">
      <c r="A7" s="20" t="s">
        <v>32</v>
      </c>
      <c r="B7" s="1" t="s">
        <v>18</v>
      </c>
      <c r="C7" s="11">
        <v>828</v>
      </c>
      <c r="D7" s="178">
        <v>1.25</v>
      </c>
      <c r="E7" s="20">
        <f>D7</f>
        <v>1.25</v>
      </c>
      <c r="F7" s="7" t="str">
        <f>B7</f>
        <v>cup</v>
      </c>
      <c r="G7" t="s">
        <v>323</v>
      </c>
      <c r="I7" s="50">
        <f t="shared" si="0"/>
        <v>1.25</v>
      </c>
      <c r="J7" s="1" t="s">
        <v>324</v>
      </c>
      <c r="K7" s="1">
        <v>8</v>
      </c>
      <c r="L7" s="1" t="s">
        <v>322</v>
      </c>
    </row>
    <row r="8" spans="1:12" x14ac:dyDescent="0.25">
      <c r="A8" s="20" t="s">
        <v>33</v>
      </c>
      <c r="B8" s="1" t="s">
        <v>18</v>
      </c>
      <c r="C8" s="11">
        <v>200</v>
      </c>
      <c r="D8" s="178">
        <v>9</v>
      </c>
      <c r="E8" s="20">
        <f>D8</f>
        <v>9</v>
      </c>
      <c r="F8" s="7" t="str">
        <f>B8</f>
        <v>cup</v>
      </c>
      <c r="G8" t="s">
        <v>325</v>
      </c>
      <c r="I8" s="50">
        <f t="shared" si="0"/>
        <v>9</v>
      </c>
    </row>
    <row r="9" spans="1:12" hidden="1" x14ac:dyDescent="0.25">
      <c r="A9" s="20" t="s">
        <v>296</v>
      </c>
      <c r="B9" s="1" t="s">
        <v>18</v>
      </c>
      <c r="C9" s="33">
        <v>140</v>
      </c>
      <c r="D9" s="178">
        <v>0</v>
      </c>
      <c r="E9" s="39"/>
      <c r="F9" s="40"/>
      <c r="H9"/>
      <c r="I9"/>
    </row>
    <row r="10" spans="1:12" x14ac:dyDescent="0.25">
      <c r="A10" s="20" t="s">
        <v>298</v>
      </c>
      <c r="B10" s="1" t="s">
        <v>25</v>
      </c>
      <c r="C10" s="11">
        <v>40</v>
      </c>
      <c r="D10" s="178">
        <v>9</v>
      </c>
      <c r="E10" s="20">
        <f>D10</f>
        <v>9</v>
      </c>
      <c r="F10" s="7" t="str">
        <f>B10</f>
        <v>tablespoon</v>
      </c>
      <c r="G10" t="s">
        <v>326</v>
      </c>
      <c r="H10" s="47">
        <v>10</v>
      </c>
      <c r="I10" s="50">
        <f>E10-H10</f>
        <v>-1</v>
      </c>
      <c r="J10" t="s">
        <v>327</v>
      </c>
    </row>
    <row r="11" spans="1:12" hidden="1" x14ac:dyDescent="0.25">
      <c r="A11" s="20" t="s">
        <v>37</v>
      </c>
      <c r="B11" s="1" t="s">
        <v>25</v>
      </c>
      <c r="C11" s="11"/>
      <c r="D11" s="178">
        <v>0</v>
      </c>
      <c r="E11" s="20"/>
      <c r="F11" s="7"/>
      <c r="H11"/>
      <c r="I11"/>
    </row>
    <row r="12" spans="1:12" hidden="1" x14ac:dyDescent="0.25">
      <c r="A12" s="20" t="s">
        <v>38</v>
      </c>
      <c r="B12" s="1" t="s">
        <v>21</v>
      </c>
      <c r="C12" s="11">
        <v>280</v>
      </c>
      <c r="D12" s="178">
        <v>0</v>
      </c>
      <c r="E12" s="20"/>
      <c r="F12" s="7"/>
      <c r="H12"/>
      <c r="I12"/>
    </row>
    <row r="13" spans="1:12" hidden="1" x14ac:dyDescent="0.25">
      <c r="A13" s="20" t="s">
        <v>39</v>
      </c>
      <c r="B13" s="1" t="s">
        <v>25</v>
      </c>
      <c r="C13" s="11">
        <v>20</v>
      </c>
      <c r="D13" s="178">
        <v>0</v>
      </c>
      <c r="E13" s="39"/>
      <c r="F13" s="40"/>
      <c r="H13"/>
      <c r="I13"/>
    </row>
    <row r="14" spans="1:12" x14ac:dyDescent="0.25">
      <c r="A14" s="20" t="s">
        <v>40</v>
      </c>
      <c r="B14" s="1" t="s">
        <v>18</v>
      </c>
      <c r="C14" s="11">
        <v>230</v>
      </c>
      <c r="D14" s="178">
        <v>1.25</v>
      </c>
      <c r="E14" s="20">
        <f>D14</f>
        <v>1.25</v>
      </c>
      <c r="F14" s="7" t="str">
        <f>B14</f>
        <v>cup</v>
      </c>
      <c r="G14" t="s">
        <v>323</v>
      </c>
      <c r="I14" s="50">
        <f t="shared" ref="I14:I21" si="1">E14-H14</f>
        <v>1.25</v>
      </c>
    </row>
    <row r="15" spans="1:12" x14ac:dyDescent="0.25">
      <c r="A15" s="20" t="s">
        <v>41</v>
      </c>
      <c r="B15" s="1" t="s">
        <v>42</v>
      </c>
      <c r="C15" s="11">
        <v>30</v>
      </c>
      <c r="D15" s="178">
        <v>3</v>
      </c>
      <c r="E15" s="20">
        <f>D15</f>
        <v>3</v>
      </c>
      <c r="F15" s="7" t="str">
        <f>B15</f>
        <v>cube</v>
      </c>
      <c r="G15" t="s">
        <v>312</v>
      </c>
      <c r="I15" s="50">
        <f t="shared" si="1"/>
        <v>3</v>
      </c>
    </row>
    <row r="16" spans="1:12" x14ac:dyDescent="0.25">
      <c r="A16" s="20" t="s">
        <v>43</v>
      </c>
      <c r="B16" s="1" t="s">
        <v>25</v>
      </c>
      <c r="C16" s="11">
        <v>17</v>
      </c>
      <c r="D16" s="178">
        <v>7</v>
      </c>
      <c r="E16" s="20" t="s">
        <v>343</v>
      </c>
      <c r="F16" s="7"/>
      <c r="G16" t="s">
        <v>312</v>
      </c>
      <c r="I16" s="50" t="e">
        <f t="shared" si="1"/>
        <v>#VALUE!</v>
      </c>
    </row>
    <row r="17" spans="1:10" x14ac:dyDescent="0.25">
      <c r="A17" s="20" t="s">
        <v>44</v>
      </c>
      <c r="B17" s="1" t="s">
        <v>21</v>
      </c>
      <c r="C17" s="11">
        <v>240</v>
      </c>
      <c r="D17" s="178">
        <v>10</v>
      </c>
      <c r="E17" s="20">
        <f>D17</f>
        <v>10</v>
      </c>
      <c r="F17" s="7" t="str">
        <f>B17</f>
        <v>package</v>
      </c>
      <c r="G17" t="s">
        <v>329</v>
      </c>
      <c r="H17" s="47">
        <f>2+8</f>
        <v>10</v>
      </c>
      <c r="I17" s="50">
        <f t="shared" si="1"/>
        <v>0</v>
      </c>
    </row>
    <row r="18" spans="1:10" x14ac:dyDescent="0.25">
      <c r="A18" s="20" t="s">
        <v>45</v>
      </c>
      <c r="B18" s="1" t="s">
        <v>46</v>
      </c>
      <c r="C18" s="11">
        <v>90</v>
      </c>
      <c r="D18" s="178">
        <v>32</v>
      </c>
      <c r="E18" s="20">
        <f>D18</f>
        <v>32</v>
      </c>
      <c r="F18" s="7" t="str">
        <f>B18</f>
        <v>piece</v>
      </c>
      <c r="G18" t="s">
        <v>330</v>
      </c>
      <c r="I18" s="50">
        <f t="shared" si="1"/>
        <v>32</v>
      </c>
    </row>
    <row r="19" spans="1:10" x14ac:dyDescent="0.25">
      <c r="A19" s="20" t="s">
        <v>47</v>
      </c>
      <c r="B19" s="1" t="s">
        <v>25</v>
      </c>
      <c r="C19" s="11">
        <v>94</v>
      </c>
      <c r="D19" s="178">
        <v>64</v>
      </c>
      <c r="E19" s="20">
        <f>D19*K6/1000</f>
        <v>0.89600000000000002</v>
      </c>
      <c r="F19" s="7" t="s">
        <v>19</v>
      </c>
      <c r="G19" t="s">
        <v>312</v>
      </c>
      <c r="I19" s="50">
        <f t="shared" si="1"/>
        <v>0.89600000000000002</v>
      </c>
      <c r="J19" t="s">
        <v>331</v>
      </c>
    </row>
    <row r="20" spans="1:10" x14ac:dyDescent="0.25">
      <c r="A20" s="20" t="s">
        <v>49</v>
      </c>
      <c r="B20" s="1" t="s">
        <v>25</v>
      </c>
      <c r="C20" s="11">
        <v>7</v>
      </c>
      <c r="D20" s="178">
        <v>37</v>
      </c>
      <c r="E20" s="20">
        <f>D20</f>
        <v>37</v>
      </c>
      <c r="F20" s="7" t="str">
        <f>B20</f>
        <v>tablespoon</v>
      </c>
      <c r="G20" t="s">
        <v>323</v>
      </c>
      <c r="I20" s="50">
        <f t="shared" si="1"/>
        <v>37</v>
      </c>
    </row>
    <row r="21" spans="1:10" x14ac:dyDescent="0.25">
      <c r="A21" s="20" t="s">
        <v>50</v>
      </c>
      <c r="B21" s="1" t="s">
        <v>25</v>
      </c>
      <c r="C21" s="11">
        <v>80</v>
      </c>
      <c r="D21" s="178">
        <v>50</v>
      </c>
      <c r="E21" s="20">
        <f>D21</f>
        <v>50</v>
      </c>
      <c r="F21" s="7" t="str">
        <f>B21</f>
        <v>tablespoon</v>
      </c>
      <c r="G21" t="s">
        <v>323</v>
      </c>
      <c r="I21" s="50">
        <f t="shared" si="1"/>
        <v>50</v>
      </c>
    </row>
    <row r="22" spans="1:10" hidden="1" x14ac:dyDescent="0.25">
      <c r="A22" s="20" t="s">
        <v>332</v>
      </c>
      <c r="B22" s="1" t="s">
        <v>46</v>
      </c>
      <c r="C22" s="11">
        <v>77</v>
      </c>
      <c r="D22" s="178">
        <v>0</v>
      </c>
      <c r="E22" s="20"/>
      <c r="F22" s="7"/>
      <c r="H22"/>
      <c r="I22"/>
    </row>
    <row r="23" spans="1:10" hidden="1" x14ac:dyDescent="0.25">
      <c r="A23" s="20" t="s">
        <v>333</v>
      </c>
      <c r="B23" s="1" t="s">
        <v>46</v>
      </c>
      <c r="C23" s="12">
        <v>40</v>
      </c>
      <c r="D23" s="178">
        <v>0</v>
      </c>
      <c r="E23" s="39"/>
      <c r="F23" s="40"/>
      <c r="H23"/>
      <c r="I23"/>
    </row>
    <row r="24" spans="1:10" x14ac:dyDescent="0.25">
      <c r="A24" s="20" t="s">
        <v>54</v>
      </c>
      <c r="B24" s="1" t="s">
        <v>18</v>
      </c>
      <c r="C24" s="11">
        <v>339</v>
      </c>
      <c r="D24" s="178">
        <v>36</v>
      </c>
      <c r="E24" s="20">
        <f>D24</f>
        <v>36</v>
      </c>
      <c r="F24" s="7" t="str">
        <f>B24</f>
        <v>cup</v>
      </c>
      <c r="G24" t="s">
        <v>334</v>
      </c>
      <c r="I24" s="50">
        <f t="shared" ref="I24:I30" si="2">E24-H24</f>
        <v>36</v>
      </c>
    </row>
    <row r="25" spans="1:10" x14ac:dyDescent="0.25">
      <c r="A25" s="20" t="s">
        <v>55</v>
      </c>
      <c r="B25" s="1" t="s">
        <v>25</v>
      </c>
      <c r="C25" s="11">
        <v>109</v>
      </c>
      <c r="D25" s="178">
        <v>23</v>
      </c>
      <c r="E25" s="20">
        <f>D25</f>
        <v>23</v>
      </c>
      <c r="F25" s="7" t="str">
        <f>B25</f>
        <v>tablespoon</v>
      </c>
      <c r="G25" t="s">
        <v>323</v>
      </c>
      <c r="I25" s="50">
        <f t="shared" si="2"/>
        <v>23</v>
      </c>
    </row>
    <row r="26" spans="1:10" x14ac:dyDescent="0.25">
      <c r="A26" s="20" t="s">
        <v>56</v>
      </c>
      <c r="B26" s="1" t="s">
        <v>25</v>
      </c>
      <c r="C26" s="11">
        <v>52</v>
      </c>
      <c r="D26" s="178">
        <v>18</v>
      </c>
      <c r="E26" s="20">
        <f>D26</f>
        <v>18</v>
      </c>
      <c r="F26" s="7" t="str">
        <f>B26</f>
        <v>tablespoon</v>
      </c>
      <c r="G26" t="s">
        <v>335</v>
      </c>
      <c r="I26" s="50">
        <f t="shared" si="2"/>
        <v>18</v>
      </c>
    </row>
    <row r="27" spans="1:10" x14ac:dyDescent="0.25">
      <c r="A27" s="20" t="s">
        <v>57</v>
      </c>
      <c r="B27" s="1" t="s">
        <v>18</v>
      </c>
      <c r="C27" s="12">
        <v>293</v>
      </c>
      <c r="D27" s="178">
        <v>24</v>
      </c>
      <c r="E27" s="20">
        <f>D27</f>
        <v>24</v>
      </c>
      <c r="F27" s="7" t="str">
        <f>B27</f>
        <v>cup</v>
      </c>
      <c r="G27" t="s">
        <v>312</v>
      </c>
      <c r="I27" s="50">
        <f t="shared" si="2"/>
        <v>24</v>
      </c>
    </row>
    <row r="28" spans="1:10" x14ac:dyDescent="0.25">
      <c r="A28" s="20" t="s">
        <v>58</v>
      </c>
      <c r="B28" s="1" t="s">
        <v>25</v>
      </c>
      <c r="C28" s="11">
        <v>22.5</v>
      </c>
      <c r="D28" s="178">
        <v>24</v>
      </c>
      <c r="E28" s="20">
        <f>D28*K7</f>
        <v>192</v>
      </c>
      <c r="F28" s="7" t="s">
        <v>336</v>
      </c>
      <c r="G28" t="s">
        <v>337</v>
      </c>
      <c r="I28" s="50">
        <f t="shared" si="2"/>
        <v>192</v>
      </c>
    </row>
    <row r="29" spans="1:10" x14ac:dyDescent="0.25">
      <c r="A29" s="20" t="s">
        <v>62</v>
      </c>
      <c r="B29" s="1" t="s">
        <v>46</v>
      </c>
      <c r="C29" s="11">
        <v>250</v>
      </c>
      <c r="D29" s="178">
        <v>36</v>
      </c>
      <c r="E29" s="20">
        <f>D29</f>
        <v>36</v>
      </c>
      <c r="F29" s="7" t="str">
        <f>B29</f>
        <v>piece</v>
      </c>
      <c r="G29" t="s">
        <v>312</v>
      </c>
      <c r="I29" s="50">
        <f t="shared" si="2"/>
        <v>36</v>
      </c>
    </row>
    <row r="30" spans="1:10" x14ac:dyDescent="0.25">
      <c r="A30" s="20" t="s">
        <v>65</v>
      </c>
      <c r="B30" s="1" t="s">
        <v>18</v>
      </c>
      <c r="C30" s="11">
        <v>754</v>
      </c>
      <c r="D30" s="178">
        <v>1.25</v>
      </c>
      <c r="E30" s="20">
        <f>D30</f>
        <v>1.25</v>
      </c>
      <c r="F30" s="7" t="str">
        <f>B30</f>
        <v>cup</v>
      </c>
      <c r="G30" t="s">
        <v>323</v>
      </c>
      <c r="I30" s="50">
        <f t="shared" si="2"/>
        <v>1.25</v>
      </c>
    </row>
    <row r="31" spans="1:10" hidden="1" x14ac:dyDescent="0.25">
      <c r="A31" s="20" t="s">
        <v>66</v>
      </c>
      <c r="B31" s="1" t="s">
        <v>21</v>
      </c>
      <c r="C31" s="11">
        <v>230</v>
      </c>
      <c r="D31" s="178">
        <v>0</v>
      </c>
      <c r="E31" s="39"/>
      <c r="F31" s="40"/>
      <c r="H31"/>
      <c r="I31"/>
    </row>
    <row r="32" spans="1:10" x14ac:dyDescent="0.25">
      <c r="A32" s="20" t="s">
        <v>67</v>
      </c>
      <c r="B32" s="1" t="s">
        <v>25</v>
      </c>
      <c r="C32" s="11">
        <v>35</v>
      </c>
      <c r="D32" s="178">
        <v>23</v>
      </c>
      <c r="E32" s="20">
        <f>D32</f>
        <v>23</v>
      </c>
      <c r="F32" s="7" t="str">
        <f>B32</f>
        <v>tablespoon</v>
      </c>
      <c r="G32" t="s">
        <v>312</v>
      </c>
      <c r="I32" s="50">
        <f t="shared" ref="I32:I33" si="3">E32-H32</f>
        <v>23</v>
      </c>
    </row>
    <row r="33" spans="1:9" x14ac:dyDescent="0.25">
      <c r="A33" s="20" t="s">
        <v>69</v>
      </c>
      <c r="B33" s="1" t="s">
        <v>46</v>
      </c>
      <c r="C33" s="11">
        <v>25</v>
      </c>
      <c r="D33" s="178">
        <v>220</v>
      </c>
      <c r="E33" s="51">
        <f>D33</f>
        <v>220</v>
      </c>
      <c r="F33" s="52" t="str">
        <f>B33</f>
        <v>piece</v>
      </c>
      <c r="G33" t="s">
        <v>312</v>
      </c>
      <c r="I33" s="50">
        <f t="shared" si="3"/>
        <v>220</v>
      </c>
    </row>
    <row r="34" spans="1:9" hidden="1" x14ac:dyDescent="0.25">
      <c r="A34" s="20" t="s">
        <v>71</v>
      </c>
      <c r="B34" s="1" t="s">
        <v>18</v>
      </c>
      <c r="C34" s="11">
        <v>540</v>
      </c>
      <c r="D34" s="178">
        <v>0</v>
      </c>
      <c r="E34" s="20"/>
      <c r="F34" s="7"/>
      <c r="H34"/>
      <c r="I34"/>
    </row>
    <row r="35" spans="1:9" hidden="1" x14ac:dyDescent="0.25">
      <c r="A35" s="20" t="s">
        <v>72</v>
      </c>
      <c r="B35" s="1" t="s">
        <v>73</v>
      </c>
      <c r="C35" s="11">
        <v>20</v>
      </c>
      <c r="D35" s="178">
        <v>0</v>
      </c>
      <c r="E35" s="39"/>
      <c r="F35" s="40"/>
      <c r="H35"/>
      <c r="I35"/>
    </row>
    <row r="36" spans="1:9" x14ac:dyDescent="0.25">
      <c r="A36" s="20" t="s">
        <v>74</v>
      </c>
      <c r="B36" s="1" t="s">
        <v>75</v>
      </c>
      <c r="C36" s="11">
        <v>280</v>
      </c>
      <c r="D36" s="178">
        <v>3</v>
      </c>
      <c r="E36" s="20">
        <f>D36</f>
        <v>3</v>
      </c>
      <c r="F36" s="7" t="str">
        <f>B36</f>
        <v>package (cup)</v>
      </c>
      <c r="G36" t="s">
        <v>338</v>
      </c>
      <c r="H36" s="47">
        <v>4</v>
      </c>
      <c r="I36" s="50">
        <f t="shared" ref="I36:I37" si="4">E36-H36</f>
        <v>-1</v>
      </c>
    </row>
    <row r="37" spans="1:9" x14ac:dyDescent="0.25">
      <c r="A37" s="20" t="s">
        <v>76</v>
      </c>
      <c r="B37" s="1" t="s">
        <v>46</v>
      </c>
      <c r="C37" s="11">
        <v>16</v>
      </c>
      <c r="D37" s="178">
        <v>5</v>
      </c>
      <c r="E37" s="20">
        <f>D37</f>
        <v>5</v>
      </c>
      <c r="F37" s="7" t="str">
        <f>B37</f>
        <v>piece</v>
      </c>
      <c r="G37" t="s">
        <v>323</v>
      </c>
      <c r="I37" s="50">
        <f t="shared" si="4"/>
        <v>5</v>
      </c>
    </row>
    <row r="38" spans="1:9" hidden="1" x14ac:dyDescent="0.25">
      <c r="A38" s="20" t="s">
        <v>77</v>
      </c>
      <c r="B38" s="1" t="s">
        <v>46</v>
      </c>
      <c r="C38" s="13">
        <v>0</v>
      </c>
      <c r="D38" s="178">
        <v>0</v>
      </c>
      <c r="E38" s="39"/>
      <c r="F38" s="40"/>
      <c r="H38"/>
      <c r="I38"/>
    </row>
    <row r="39" spans="1:9" x14ac:dyDescent="0.25">
      <c r="A39" s="20" t="s">
        <v>78</v>
      </c>
      <c r="B39" s="1" t="s">
        <v>46</v>
      </c>
      <c r="C39" s="11">
        <v>9</v>
      </c>
      <c r="D39" s="178">
        <v>1100</v>
      </c>
      <c r="E39" s="20">
        <f>D39*K2/1000</f>
        <v>2.4750000000000001</v>
      </c>
      <c r="F39" s="7" t="s">
        <v>19</v>
      </c>
      <c r="G39" t="s">
        <v>339</v>
      </c>
      <c r="I39" s="50">
        <f>E39-H39</f>
        <v>2.4750000000000001</v>
      </c>
    </row>
    <row r="40" spans="1:9" hidden="1" x14ac:dyDescent="0.25">
      <c r="A40" s="20" t="s">
        <v>79</v>
      </c>
      <c r="B40" s="1" t="s">
        <v>80</v>
      </c>
      <c r="C40" s="11">
        <v>90</v>
      </c>
      <c r="D40" s="178">
        <v>0</v>
      </c>
      <c r="E40" s="20"/>
      <c r="F40" s="7"/>
      <c r="H40"/>
      <c r="I40"/>
    </row>
    <row r="41" spans="1:9" hidden="1" x14ac:dyDescent="0.25">
      <c r="A41" s="20" t="s">
        <v>81</v>
      </c>
      <c r="B41" s="1" t="s">
        <v>82</v>
      </c>
      <c r="C41" s="11">
        <v>70</v>
      </c>
      <c r="D41" s="178">
        <v>0</v>
      </c>
      <c r="E41" s="20"/>
      <c r="F41" s="7"/>
      <c r="H41"/>
      <c r="I41"/>
    </row>
    <row r="42" spans="1:9" x14ac:dyDescent="0.25">
      <c r="A42" s="20" t="s">
        <v>83</v>
      </c>
      <c r="B42" s="1" t="s">
        <v>21</v>
      </c>
      <c r="C42" s="11">
        <v>380</v>
      </c>
      <c r="D42" s="178">
        <v>24</v>
      </c>
      <c r="E42" s="20">
        <f>D42</f>
        <v>24</v>
      </c>
      <c r="F42" s="7"/>
      <c r="H42" s="47">
        <v>24</v>
      </c>
      <c r="I42" s="50">
        <f t="shared" ref="I42:I43" si="5">E42-H42</f>
        <v>0</v>
      </c>
    </row>
    <row r="43" spans="1:9" x14ac:dyDescent="0.25">
      <c r="A43" s="20" t="s">
        <v>84</v>
      </c>
      <c r="B43" s="1" t="s">
        <v>344</v>
      </c>
      <c r="C43" s="11">
        <v>0</v>
      </c>
      <c r="D43" s="178">
        <v>24</v>
      </c>
      <c r="E43" s="20">
        <f>D43</f>
        <v>24</v>
      </c>
      <c r="F43" s="7"/>
      <c r="I43" s="50">
        <f t="shared" si="5"/>
        <v>24</v>
      </c>
    </row>
    <row r="44" spans="1:9" hidden="1" x14ac:dyDescent="0.25">
      <c r="A44" s="20"/>
      <c r="B44" s="1"/>
      <c r="C44" s="11"/>
      <c r="D44" s="178">
        <v>0</v>
      </c>
      <c r="E44" s="20"/>
      <c r="F44" s="7"/>
      <c r="H44"/>
      <c r="I44"/>
    </row>
    <row r="45" spans="1:9" hidden="1" x14ac:dyDescent="0.25">
      <c r="A45" s="20"/>
      <c r="B45" s="1"/>
      <c r="C45" s="11"/>
      <c r="D45" s="178">
        <v>0</v>
      </c>
      <c r="E45" s="20"/>
      <c r="F45" s="7"/>
      <c r="H45"/>
      <c r="I45"/>
    </row>
    <row r="46" spans="1:9" hidden="1" x14ac:dyDescent="0.25">
      <c r="A46" s="20"/>
      <c r="B46" s="1"/>
      <c r="C46" s="11"/>
      <c r="D46" s="178">
        <v>0</v>
      </c>
      <c r="E46" s="20"/>
      <c r="F46" s="7"/>
      <c r="H46"/>
      <c r="I46"/>
    </row>
    <row r="47" spans="1:9" hidden="1" x14ac:dyDescent="0.25">
      <c r="A47" s="20"/>
      <c r="B47" s="1"/>
      <c r="C47" s="11"/>
      <c r="D47" s="178">
        <v>0</v>
      </c>
      <c r="E47" s="20"/>
      <c r="F47" s="7"/>
      <c r="H47"/>
      <c r="I47"/>
    </row>
    <row r="48" spans="1:9" ht="15.75" hidden="1" thickBot="1" x14ac:dyDescent="0.3">
      <c r="A48" s="21"/>
      <c r="B48" s="8"/>
      <c r="C48" s="22"/>
      <c r="D48" s="38">
        <v>0</v>
      </c>
      <c r="E48" s="21"/>
      <c r="F48" s="9"/>
      <c r="H48"/>
      <c r="I48"/>
    </row>
    <row r="52" spans="1:9" ht="21" x14ac:dyDescent="0.35">
      <c r="A52" s="44" t="s">
        <v>340</v>
      </c>
      <c r="B52" s="43"/>
      <c r="C52" s="43"/>
      <c r="D52" s="43"/>
      <c r="E52" s="43"/>
      <c r="F52" s="43"/>
      <c r="G52" s="43"/>
      <c r="H52" s="49"/>
      <c r="I52" s="49"/>
    </row>
  </sheetData>
  <autoFilter ref="A1:D48" xr:uid="{00000000-0009-0000-0000-000007000000}">
    <filterColumn colId="3">
      <filters>
        <filter val="1.25"/>
        <filter val="10"/>
        <filter val="1100"/>
        <filter val="15"/>
        <filter val="18"/>
        <filter val="21"/>
        <filter val="220"/>
        <filter val="23"/>
        <filter val="24"/>
        <filter val="3"/>
        <filter val="32"/>
        <filter val="33"/>
        <filter val="36"/>
        <filter val="37"/>
        <filter val="5"/>
        <filter val="50"/>
        <filter val="64"/>
        <filter val="7"/>
        <filter val="9"/>
        <filter val="93"/>
      </filters>
    </filterColumn>
  </autoFilter>
  <mergeCells count="1">
    <mergeCell ref="E1:F1"/>
  </mergeCells>
  <conditionalFormatting sqref="C1:C48">
    <cfRule type="containsBlanks" dxfId="2" priority="1">
      <formula>LEN(TRIM(C1))=0</formula>
    </cfRule>
  </conditionalFormatting>
  <pageMargins left="0.7" right="0.7" top="0.75" bottom="0.75" header="0.3" footer="0.3"/>
  <pageSetup orientation="landscape" horizontalDpi="4294967293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filterMode="1">
    <tabColor theme="0"/>
  </sheetPr>
  <dimension ref="A1:L52"/>
  <sheetViews>
    <sheetView topLeftCell="A14" workbookViewId="0">
      <selection activeCell="G59" sqref="G59"/>
    </sheetView>
  </sheetViews>
  <sheetFormatPr defaultRowHeight="15" x14ac:dyDescent="0.25"/>
  <cols>
    <col min="1" max="1" width="35.7109375" bestFit="1" customWidth="1"/>
    <col min="2" max="2" width="13.28515625" bestFit="1" customWidth="1"/>
    <col min="3" max="3" width="8.140625" hidden="1" customWidth="1"/>
    <col min="4" max="4" width="12.7109375" hidden="1" customWidth="1"/>
    <col min="5" max="5" width="11.140625" customWidth="1"/>
    <col min="6" max="6" width="19" customWidth="1"/>
    <col min="7" max="7" width="48.28515625" customWidth="1"/>
    <col min="8" max="8" width="25.28515625" style="47" hidden="1" customWidth="1"/>
    <col min="9" max="9" width="25.28515625" style="47" customWidth="1"/>
    <col min="10" max="10" width="20" customWidth="1"/>
    <col min="11" max="11" width="8.7109375" customWidth="1"/>
    <col min="12" max="12" width="17" customWidth="1"/>
  </cols>
  <sheetData>
    <row r="1" spans="1:12" ht="15.75" thickBot="1" x14ac:dyDescent="0.3">
      <c r="A1" s="25" t="s">
        <v>1</v>
      </c>
      <c r="B1" s="26" t="s">
        <v>308</v>
      </c>
      <c r="C1" s="27" t="s">
        <v>132</v>
      </c>
      <c r="D1" s="34" t="s">
        <v>8</v>
      </c>
      <c r="E1" s="193" t="s">
        <v>309</v>
      </c>
      <c r="F1" s="194"/>
      <c r="G1" s="41" t="s">
        <v>310</v>
      </c>
      <c r="H1" s="46" t="s">
        <v>341</v>
      </c>
      <c r="I1" s="46" t="s">
        <v>342</v>
      </c>
      <c r="J1" s="42" t="s">
        <v>311</v>
      </c>
      <c r="K1" s="1"/>
      <c r="L1" s="1"/>
    </row>
    <row r="2" spans="1:12" x14ac:dyDescent="0.25">
      <c r="A2" s="23" t="s">
        <v>17</v>
      </c>
      <c r="B2" s="10" t="s">
        <v>18</v>
      </c>
      <c r="C2" s="24">
        <v>320</v>
      </c>
      <c r="D2" s="35">
        <v>24</v>
      </c>
      <c r="E2" s="36">
        <f>D2</f>
        <v>24</v>
      </c>
      <c r="F2" s="37" t="str">
        <f>B2</f>
        <v>cup</v>
      </c>
      <c r="G2" t="s">
        <v>312</v>
      </c>
      <c r="H2" s="53">
        <v>2</v>
      </c>
      <c r="I2" s="53">
        <f>E2-H2</f>
        <v>22</v>
      </c>
      <c r="J2" s="1" t="s">
        <v>313</v>
      </c>
      <c r="K2" s="1">
        <f>C39/4</f>
        <v>2.25</v>
      </c>
      <c r="L2" s="1" t="s">
        <v>314</v>
      </c>
    </row>
    <row r="3" spans="1:12" x14ac:dyDescent="0.25">
      <c r="A3" s="20" t="s">
        <v>20</v>
      </c>
      <c r="B3" s="1" t="s">
        <v>21</v>
      </c>
      <c r="C3" s="11">
        <v>130</v>
      </c>
      <c r="D3" s="178">
        <v>23</v>
      </c>
      <c r="E3" s="20">
        <f>D3</f>
        <v>23</v>
      </c>
      <c r="F3" s="7" t="str">
        <f>B3</f>
        <v>package</v>
      </c>
      <c r="G3" t="s">
        <v>315</v>
      </c>
      <c r="H3" s="53">
        <v>27</v>
      </c>
      <c r="I3" s="53">
        <f t="shared" ref="I3:I8" si="0">E3-H3</f>
        <v>-4</v>
      </c>
      <c r="J3" s="1" t="s">
        <v>316</v>
      </c>
      <c r="K3" s="1">
        <v>5</v>
      </c>
      <c r="L3" s="1" t="s">
        <v>317</v>
      </c>
    </row>
    <row r="4" spans="1:12" x14ac:dyDescent="0.25">
      <c r="A4" s="20" t="s">
        <v>299</v>
      </c>
      <c r="B4" s="1" t="s">
        <v>25</v>
      </c>
      <c r="C4" s="11">
        <v>60</v>
      </c>
      <c r="D4" s="178">
        <v>93</v>
      </c>
      <c r="E4" s="20">
        <f>D4*K4*K3/1000</f>
        <v>1.395</v>
      </c>
      <c r="F4" s="7" t="s">
        <v>19</v>
      </c>
      <c r="G4" t="s">
        <v>312</v>
      </c>
      <c r="H4" s="53">
        <v>7.1999999999999995E-2</v>
      </c>
      <c r="I4" s="53">
        <f t="shared" si="0"/>
        <v>1.323</v>
      </c>
      <c r="J4" s="1" t="s">
        <v>130</v>
      </c>
      <c r="K4" s="1">
        <v>3</v>
      </c>
      <c r="L4" s="1" t="s">
        <v>318</v>
      </c>
    </row>
    <row r="5" spans="1:12" x14ac:dyDescent="0.25">
      <c r="A5" s="20" t="s">
        <v>28</v>
      </c>
      <c r="B5" s="1" t="s">
        <v>25</v>
      </c>
      <c r="C5" s="11">
        <v>120</v>
      </c>
      <c r="D5" s="178">
        <v>33</v>
      </c>
      <c r="E5" s="20">
        <f>D5*K5</f>
        <v>16.5</v>
      </c>
      <c r="F5" s="7" t="s">
        <v>319</v>
      </c>
      <c r="G5" t="s">
        <v>312</v>
      </c>
      <c r="H5" s="53">
        <f>33/3</f>
        <v>11</v>
      </c>
      <c r="I5" s="53">
        <f t="shared" si="0"/>
        <v>5.5</v>
      </c>
      <c r="J5" s="1" t="s">
        <v>130</v>
      </c>
      <c r="K5" s="1">
        <v>0.5</v>
      </c>
      <c r="L5" s="1" t="s">
        <v>320</v>
      </c>
    </row>
    <row r="6" spans="1:12" x14ac:dyDescent="0.25">
      <c r="A6" s="20" t="s">
        <v>30</v>
      </c>
      <c r="B6" s="1" t="s">
        <v>21</v>
      </c>
      <c r="C6" s="11">
        <v>70</v>
      </c>
      <c r="D6" s="178">
        <v>16.5</v>
      </c>
      <c r="E6" s="20">
        <f>D6</f>
        <v>16.5</v>
      </c>
      <c r="F6" s="7" t="str">
        <f>B6</f>
        <v>package</v>
      </c>
      <c r="G6" s="45" t="s">
        <v>321</v>
      </c>
      <c r="H6" s="54">
        <v>12</v>
      </c>
      <c r="I6" s="53">
        <f t="shared" si="0"/>
        <v>4.5</v>
      </c>
      <c r="J6" s="1" t="s">
        <v>47</v>
      </c>
      <c r="K6" s="1">
        <v>14</v>
      </c>
      <c r="L6" s="1" t="s">
        <v>322</v>
      </c>
    </row>
    <row r="7" spans="1:12" x14ac:dyDescent="0.25">
      <c r="A7" s="20" t="s">
        <v>32</v>
      </c>
      <c r="B7" s="1" t="s">
        <v>18</v>
      </c>
      <c r="C7" s="11">
        <v>828</v>
      </c>
      <c r="D7" s="178">
        <v>1.25</v>
      </c>
      <c r="E7" s="20">
        <f>D7</f>
        <v>1.25</v>
      </c>
      <c r="F7" s="7" t="str">
        <f>B7</f>
        <v>cup</v>
      </c>
      <c r="G7" t="s">
        <v>323</v>
      </c>
      <c r="H7" s="53">
        <v>0</v>
      </c>
      <c r="I7" s="53">
        <f t="shared" si="0"/>
        <v>1.25</v>
      </c>
      <c r="J7" s="1" t="s">
        <v>324</v>
      </c>
      <c r="K7" s="1">
        <v>8</v>
      </c>
      <c r="L7" s="1" t="s">
        <v>322</v>
      </c>
    </row>
    <row r="8" spans="1:12" x14ac:dyDescent="0.25">
      <c r="A8" s="20" t="s">
        <v>33</v>
      </c>
      <c r="B8" s="1" t="s">
        <v>18</v>
      </c>
      <c r="C8" s="11">
        <v>200</v>
      </c>
      <c r="D8" s="178">
        <v>9</v>
      </c>
      <c r="E8" s="20">
        <f>D8</f>
        <v>9</v>
      </c>
      <c r="F8" s="7" t="str">
        <f>B8</f>
        <v>cup</v>
      </c>
      <c r="G8" t="s">
        <v>325</v>
      </c>
      <c r="H8" s="53">
        <v>2</v>
      </c>
      <c r="I8" s="53">
        <f t="shared" si="0"/>
        <v>7</v>
      </c>
    </row>
    <row r="9" spans="1:12" hidden="1" x14ac:dyDescent="0.25">
      <c r="A9" s="20" t="s">
        <v>296</v>
      </c>
      <c r="B9" s="1" t="s">
        <v>18</v>
      </c>
      <c r="C9" s="33">
        <v>140</v>
      </c>
      <c r="D9" s="178">
        <v>0</v>
      </c>
      <c r="E9" s="39"/>
      <c r="F9" s="40"/>
      <c r="H9"/>
      <c r="I9"/>
    </row>
    <row r="10" spans="1:12" x14ac:dyDescent="0.25">
      <c r="A10" s="20" t="s">
        <v>298</v>
      </c>
      <c r="B10" s="1" t="s">
        <v>25</v>
      </c>
      <c r="C10" s="11">
        <v>40</v>
      </c>
      <c r="D10" s="178">
        <v>12</v>
      </c>
      <c r="E10" s="20">
        <f>D10</f>
        <v>12</v>
      </c>
      <c r="F10" s="7" t="str">
        <f>B10</f>
        <v>tablespoon</v>
      </c>
      <c r="G10" t="s">
        <v>326</v>
      </c>
      <c r="H10" s="53">
        <v>10</v>
      </c>
      <c r="I10" s="53">
        <f>E10-H10</f>
        <v>2</v>
      </c>
      <c r="J10" t="s">
        <v>327</v>
      </c>
    </row>
    <row r="11" spans="1:12" hidden="1" x14ac:dyDescent="0.25">
      <c r="A11" s="20" t="s">
        <v>37</v>
      </c>
      <c r="B11" s="1" t="s">
        <v>25</v>
      </c>
      <c r="C11" s="11"/>
      <c r="D11" s="178">
        <v>0</v>
      </c>
      <c r="E11" s="20"/>
      <c r="F11" s="7"/>
      <c r="H11"/>
      <c r="I11"/>
    </row>
    <row r="12" spans="1:12" hidden="1" x14ac:dyDescent="0.25">
      <c r="A12" s="20" t="s">
        <v>38</v>
      </c>
      <c r="B12" s="1" t="s">
        <v>21</v>
      </c>
      <c r="C12" s="11">
        <v>280</v>
      </c>
      <c r="D12" s="178">
        <v>0</v>
      </c>
      <c r="E12" s="20"/>
      <c r="F12" s="7"/>
      <c r="H12"/>
      <c r="I12"/>
    </row>
    <row r="13" spans="1:12" x14ac:dyDescent="0.25">
      <c r="A13" s="20" t="s">
        <v>39</v>
      </c>
      <c r="B13" s="1" t="s">
        <v>25</v>
      </c>
      <c r="C13" s="11">
        <v>20</v>
      </c>
      <c r="D13" s="178">
        <v>9</v>
      </c>
      <c r="E13" s="39"/>
      <c r="F13" s="40"/>
      <c r="H13" s="55"/>
      <c r="I13" s="53" t="s">
        <v>345</v>
      </c>
    </row>
    <row r="14" spans="1:12" x14ac:dyDescent="0.25">
      <c r="A14" s="20" t="s">
        <v>40</v>
      </c>
      <c r="B14" s="1" t="s">
        <v>18</v>
      </c>
      <c r="C14" s="11">
        <v>230</v>
      </c>
      <c r="D14" s="178">
        <v>1.25</v>
      </c>
      <c r="E14" s="20">
        <f>D14</f>
        <v>1.25</v>
      </c>
      <c r="F14" s="7" t="str">
        <f>B14</f>
        <v>cup</v>
      </c>
      <c r="G14" t="s">
        <v>323</v>
      </c>
      <c r="H14" s="53">
        <v>2</v>
      </c>
      <c r="I14" s="53">
        <f t="shared" ref="I14:I21" si="1">E14-H14</f>
        <v>-0.75</v>
      </c>
    </row>
    <row r="15" spans="1:12" x14ac:dyDescent="0.25">
      <c r="A15" s="20" t="s">
        <v>41</v>
      </c>
      <c r="B15" s="1" t="s">
        <v>42</v>
      </c>
      <c r="C15" s="11">
        <v>30</v>
      </c>
      <c r="D15" s="178">
        <v>9</v>
      </c>
      <c r="E15" s="20">
        <f>D15</f>
        <v>9</v>
      </c>
      <c r="F15" s="7" t="str">
        <f>B15</f>
        <v>cube</v>
      </c>
      <c r="G15" t="s">
        <v>312</v>
      </c>
      <c r="H15" s="53">
        <v>2</v>
      </c>
      <c r="I15" s="53">
        <f t="shared" si="1"/>
        <v>7</v>
      </c>
    </row>
    <row r="16" spans="1:12" x14ac:dyDescent="0.25">
      <c r="A16" s="20" t="s">
        <v>43</v>
      </c>
      <c r="B16" s="1" t="s">
        <v>25</v>
      </c>
      <c r="C16" s="11">
        <v>17</v>
      </c>
      <c r="D16" s="178">
        <v>10</v>
      </c>
      <c r="E16" s="20" t="s">
        <v>343</v>
      </c>
      <c r="F16" s="7"/>
      <c r="G16" t="s">
        <v>312</v>
      </c>
      <c r="H16" s="53">
        <v>0</v>
      </c>
      <c r="I16" s="53" t="e">
        <f t="shared" si="1"/>
        <v>#VALUE!</v>
      </c>
    </row>
    <row r="17" spans="1:10" x14ac:dyDescent="0.25">
      <c r="A17" s="20" t="s">
        <v>44</v>
      </c>
      <c r="B17" s="1" t="s">
        <v>21</v>
      </c>
      <c r="C17" s="11">
        <v>240</v>
      </c>
      <c r="D17" s="178">
        <v>10</v>
      </c>
      <c r="E17" s="20">
        <f>D17</f>
        <v>10</v>
      </c>
      <c r="F17" s="7" t="str">
        <f>B17</f>
        <v>package</v>
      </c>
      <c r="G17" t="s">
        <v>329</v>
      </c>
      <c r="H17" s="53">
        <f>2+8</f>
        <v>10</v>
      </c>
      <c r="I17" s="53">
        <f t="shared" si="1"/>
        <v>0</v>
      </c>
    </row>
    <row r="18" spans="1:10" x14ac:dyDescent="0.25">
      <c r="A18" s="20" t="s">
        <v>45</v>
      </c>
      <c r="B18" s="1" t="s">
        <v>46</v>
      </c>
      <c r="C18" s="11">
        <v>90</v>
      </c>
      <c r="D18" s="178">
        <v>32</v>
      </c>
      <c r="E18" s="20">
        <f>D18</f>
        <v>32</v>
      </c>
      <c r="F18" s="7" t="str">
        <f>B18</f>
        <v>piece</v>
      </c>
      <c r="G18" t="s">
        <v>330</v>
      </c>
      <c r="H18" s="53">
        <v>0</v>
      </c>
      <c r="I18" s="53">
        <f t="shared" si="1"/>
        <v>32</v>
      </c>
    </row>
    <row r="19" spans="1:10" x14ac:dyDescent="0.25">
      <c r="A19" s="20" t="s">
        <v>47</v>
      </c>
      <c r="B19" s="1" t="s">
        <v>25</v>
      </c>
      <c r="C19" s="11">
        <v>94</v>
      </c>
      <c r="D19" s="178">
        <v>64</v>
      </c>
      <c r="E19" s="20">
        <f>D19*K6/1000</f>
        <v>0.89600000000000002</v>
      </c>
      <c r="F19" s="7" t="s">
        <v>19</v>
      </c>
      <c r="G19" t="s">
        <v>312</v>
      </c>
      <c r="H19" s="53">
        <v>0</v>
      </c>
      <c r="I19" s="53">
        <f t="shared" si="1"/>
        <v>0.89600000000000002</v>
      </c>
      <c r="J19" t="s">
        <v>331</v>
      </c>
    </row>
    <row r="20" spans="1:10" x14ac:dyDescent="0.25">
      <c r="A20" s="20" t="s">
        <v>49</v>
      </c>
      <c r="B20" s="1" t="s">
        <v>25</v>
      </c>
      <c r="C20" s="11">
        <v>7</v>
      </c>
      <c r="D20" s="178">
        <v>37</v>
      </c>
      <c r="E20" s="20">
        <f>D20</f>
        <v>37</v>
      </c>
      <c r="F20" s="7" t="str">
        <f>B20</f>
        <v>tablespoon</v>
      </c>
      <c r="G20" t="s">
        <v>323</v>
      </c>
      <c r="H20" s="53">
        <v>20</v>
      </c>
      <c r="I20" s="53">
        <f t="shared" si="1"/>
        <v>17</v>
      </c>
    </row>
    <row r="21" spans="1:10" x14ac:dyDescent="0.25">
      <c r="A21" s="20" t="s">
        <v>50</v>
      </c>
      <c r="B21" s="1" t="s">
        <v>25</v>
      </c>
      <c r="C21" s="11">
        <v>80</v>
      </c>
      <c r="D21" s="178">
        <v>50</v>
      </c>
      <c r="E21" s="20">
        <f>D21</f>
        <v>50</v>
      </c>
      <c r="F21" s="7" t="str">
        <f>B21</f>
        <v>tablespoon</v>
      </c>
      <c r="G21" t="s">
        <v>323</v>
      </c>
      <c r="H21" s="53">
        <v>12</v>
      </c>
      <c r="I21" s="53">
        <f t="shared" si="1"/>
        <v>38</v>
      </c>
    </row>
    <row r="22" spans="1:10" hidden="1" x14ac:dyDescent="0.25">
      <c r="A22" s="20" t="s">
        <v>332</v>
      </c>
      <c r="B22" s="1" t="s">
        <v>46</v>
      </c>
      <c r="C22" s="11">
        <v>77</v>
      </c>
      <c r="D22" s="178">
        <v>0</v>
      </c>
      <c r="E22" s="20"/>
      <c r="F22" s="7"/>
      <c r="H22"/>
      <c r="I22"/>
    </row>
    <row r="23" spans="1:10" hidden="1" x14ac:dyDescent="0.25">
      <c r="A23" s="20" t="s">
        <v>333</v>
      </c>
      <c r="B23" s="1" t="s">
        <v>46</v>
      </c>
      <c r="C23" s="12">
        <v>40</v>
      </c>
      <c r="D23" s="178">
        <v>0</v>
      </c>
      <c r="E23" s="39"/>
      <c r="F23" s="40"/>
      <c r="H23"/>
      <c r="I23"/>
    </row>
    <row r="24" spans="1:10" x14ac:dyDescent="0.25">
      <c r="A24" s="20" t="s">
        <v>54</v>
      </c>
      <c r="B24" s="1" t="s">
        <v>18</v>
      </c>
      <c r="C24" s="11">
        <v>339</v>
      </c>
      <c r="D24" s="178">
        <v>36</v>
      </c>
      <c r="E24" s="20">
        <f>D24</f>
        <v>36</v>
      </c>
      <c r="F24" s="7" t="str">
        <f>B24</f>
        <v>cup</v>
      </c>
      <c r="G24" t="s">
        <v>334</v>
      </c>
      <c r="H24" s="53">
        <v>7</v>
      </c>
      <c r="I24" s="53">
        <f t="shared" ref="I24:I30" si="2">E24-H24</f>
        <v>29</v>
      </c>
    </row>
    <row r="25" spans="1:10" x14ac:dyDescent="0.25">
      <c r="A25" s="20" t="s">
        <v>55</v>
      </c>
      <c r="B25" s="1" t="s">
        <v>25</v>
      </c>
      <c r="C25" s="11">
        <v>109</v>
      </c>
      <c r="D25" s="178">
        <v>23</v>
      </c>
      <c r="E25" s="20">
        <f>D25</f>
        <v>23</v>
      </c>
      <c r="F25" s="7" t="str">
        <f>B25</f>
        <v>tablespoon</v>
      </c>
      <c r="G25" t="s">
        <v>323</v>
      </c>
      <c r="H25" s="53">
        <v>3</v>
      </c>
      <c r="I25" s="53">
        <f t="shared" si="2"/>
        <v>20</v>
      </c>
    </row>
    <row r="26" spans="1:10" x14ac:dyDescent="0.25">
      <c r="A26" s="20" t="s">
        <v>56</v>
      </c>
      <c r="B26" s="1" t="s">
        <v>25</v>
      </c>
      <c r="C26" s="11">
        <v>52</v>
      </c>
      <c r="D26" s="178">
        <v>18</v>
      </c>
      <c r="E26" s="20">
        <f>D26</f>
        <v>18</v>
      </c>
      <c r="F26" s="7" t="str">
        <f>B26</f>
        <v>tablespoon</v>
      </c>
      <c r="G26" t="s">
        <v>335</v>
      </c>
      <c r="H26" s="53">
        <v>18</v>
      </c>
      <c r="I26" s="53">
        <f t="shared" si="2"/>
        <v>0</v>
      </c>
    </row>
    <row r="27" spans="1:10" x14ac:dyDescent="0.25">
      <c r="A27" s="20" t="s">
        <v>57</v>
      </c>
      <c r="B27" s="1" t="s">
        <v>18</v>
      </c>
      <c r="C27" s="12">
        <v>293</v>
      </c>
      <c r="D27" s="178">
        <v>24</v>
      </c>
      <c r="E27" s="20">
        <f>D27</f>
        <v>24</v>
      </c>
      <c r="F27" s="7" t="str">
        <f>B27</f>
        <v>cup</v>
      </c>
      <c r="G27" t="s">
        <v>312</v>
      </c>
      <c r="H27" s="53">
        <v>0</v>
      </c>
      <c r="I27" s="53">
        <f t="shared" si="2"/>
        <v>24</v>
      </c>
    </row>
    <row r="28" spans="1:10" x14ac:dyDescent="0.25">
      <c r="A28" s="20" t="s">
        <v>58</v>
      </c>
      <c r="B28" s="1" t="s">
        <v>25</v>
      </c>
      <c r="C28" s="11">
        <v>22.5</v>
      </c>
      <c r="D28" s="178">
        <v>24</v>
      </c>
      <c r="E28" s="20">
        <f>D28*K7</f>
        <v>192</v>
      </c>
      <c r="F28" s="7" t="s">
        <v>336</v>
      </c>
      <c r="G28" t="s">
        <v>337</v>
      </c>
      <c r="H28" s="53">
        <v>144</v>
      </c>
      <c r="I28" s="53">
        <f t="shared" si="2"/>
        <v>48</v>
      </c>
    </row>
    <row r="29" spans="1:10" x14ac:dyDescent="0.25">
      <c r="A29" s="20" t="s">
        <v>62</v>
      </c>
      <c r="B29" s="1" t="s">
        <v>46</v>
      </c>
      <c r="C29" s="11">
        <v>250</v>
      </c>
      <c r="D29" s="178">
        <v>36</v>
      </c>
      <c r="E29" s="20">
        <f>D29</f>
        <v>36</v>
      </c>
      <c r="F29" s="7" t="str">
        <f>B29</f>
        <v>piece</v>
      </c>
      <c r="G29" t="s">
        <v>312</v>
      </c>
      <c r="H29" s="53">
        <v>0</v>
      </c>
      <c r="I29" s="53">
        <f t="shared" si="2"/>
        <v>36</v>
      </c>
    </row>
    <row r="30" spans="1:10" x14ac:dyDescent="0.25">
      <c r="A30" s="20" t="s">
        <v>65</v>
      </c>
      <c r="B30" s="1" t="s">
        <v>18</v>
      </c>
      <c r="C30" s="11">
        <v>754</v>
      </c>
      <c r="D30" s="178">
        <v>1.25</v>
      </c>
      <c r="E30" s="20">
        <f>D30</f>
        <v>1.25</v>
      </c>
      <c r="F30" s="7" t="str">
        <f>B30</f>
        <v>cup</v>
      </c>
      <c r="G30" t="s">
        <v>323</v>
      </c>
      <c r="H30" s="53">
        <v>1</v>
      </c>
      <c r="I30" s="53">
        <f t="shared" si="2"/>
        <v>0.25</v>
      </c>
    </row>
    <row r="31" spans="1:10" hidden="1" x14ac:dyDescent="0.25">
      <c r="A31" s="20" t="s">
        <v>66</v>
      </c>
      <c r="B31" s="1" t="s">
        <v>21</v>
      </c>
      <c r="C31" s="11">
        <v>230</v>
      </c>
      <c r="D31" s="178">
        <v>0</v>
      </c>
      <c r="E31" s="39"/>
      <c r="F31" s="40"/>
      <c r="H31"/>
      <c r="I31"/>
    </row>
    <row r="32" spans="1:10" x14ac:dyDescent="0.25">
      <c r="A32" s="20" t="s">
        <v>67</v>
      </c>
      <c r="B32" s="1" t="s">
        <v>25</v>
      </c>
      <c r="C32" s="11">
        <v>35</v>
      </c>
      <c r="D32" s="178">
        <v>23</v>
      </c>
      <c r="E32" s="20">
        <f>D32</f>
        <v>23</v>
      </c>
      <c r="F32" s="7" t="str">
        <f>B32</f>
        <v>tablespoon</v>
      </c>
      <c r="G32" t="s">
        <v>312</v>
      </c>
      <c r="H32" s="53">
        <v>0</v>
      </c>
      <c r="I32" s="53">
        <f t="shared" ref="I32:I33" si="3">E32-H32</f>
        <v>23</v>
      </c>
    </row>
    <row r="33" spans="1:9" x14ac:dyDescent="0.25">
      <c r="A33" s="20" t="s">
        <v>69</v>
      </c>
      <c r="B33" s="1" t="s">
        <v>46</v>
      </c>
      <c r="C33" s="11">
        <v>25</v>
      </c>
      <c r="D33" s="178">
        <v>220</v>
      </c>
      <c r="E33" s="51">
        <f>D33</f>
        <v>220</v>
      </c>
      <c r="F33" s="52" t="str">
        <f>B33</f>
        <v>piece</v>
      </c>
      <c r="G33" t="s">
        <v>312</v>
      </c>
      <c r="H33" s="53">
        <v>6</v>
      </c>
      <c r="I33" s="53">
        <f t="shared" si="3"/>
        <v>214</v>
      </c>
    </row>
    <row r="34" spans="1:9" hidden="1" x14ac:dyDescent="0.25">
      <c r="A34" s="20" t="s">
        <v>71</v>
      </c>
      <c r="B34" s="1" t="s">
        <v>18</v>
      </c>
      <c r="C34" s="11">
        <v>540</v>
      </c>
      <c r="D34" s="178">
        <v>0</v>
      </c>
      <c r="E34" s="20"/>
      <c r="F34" s="7"/>
      <c r="H34"/>
      <c r="I34"/>
    </row>
    <row r="35" spans="1:9" hidden="1" x14ac:dyDescent="0.25">
      <c r="A35" s="20" t="s">
        <v>72</v>
      </c>
      <c r="B35" s="1" t="s">
        <v>73</v>
      </c>
      <c r="C35" s="11">
        <v>20</v>
      </c>
      <c r="D35" s="178">
        <v>0</v>
      </c>
      <c r="E35" s="39"/>
      <c r="F35" s="40"/>
      <c r="H35"/>
      <c r="I35"/>
    </row>
    <row r="36" spans="1:9" x14ac:dyDescent="0.25">
      <c r="A36" s="20" t="s">
        <v>74</v>
      </c>
      <c r="B36" s="1" t="s">
        <v>75</v>
      </c>
      <c r="C36" s="11">
        <v>280</v>
      </c>
      <c r="D36" s="178">
        <v>3</v>
      </c>
      <c r="E36" s="20">
        <f>D36</f>
        <v>3</v>
      </c>
      <c r="F36" s="7" t="str">
        <f>B36</f>
        <v>package (cup)</v>
      </c>
      <c r="G36" t="s">
        <v>338</v>
      </c>
      <c r="H36" s="53">
        <v>4</v>
      </c>
      <c r="I36" s="53">
        <f t="shared" ref="I36:I37" si="4">E36-H36</f>
        <v>-1</v>
      </c>
    </row>
    <row r="37" spans="1:9" x14ac:dyDescent="0.25">
      <c r="A37" s="20" t="s">
        <v>76</v>
      </c>
      <c r="B37" s="1" t="s">
        <v>46</v>
      </c>
      <c r="C37" s="11">
        <v>16</v>
      </c>
      <c r="D37" s="178">
        <v>5</v>
      </c>
      <c r="E37" s="20">
        <f>D37</f>
        <v>5</v>
      </c>
      <c r="F37" s="7" t="str">
        <f>B37</f>
        <v>piece</v>
      </c>
      <c r="G37" t="s">
        <v>323</v>
      </c>
      <c r="H37" s="53">
        <v>3</v>
      </c>
      <c r="I37" s="53">
        <f t="shared" si="4"/>
        <v>2</v>
      </c>
    </row>
    <row r="38" spans="1:9" hidden="1" x14ac:dyDescent="0.25">
      <c r="A38" s="20" t="s">
        <v>77</v>
      </c>
      <c r="B38" s="1" t="s">
        <v>46</v>
      </c>
      <c r="C38" s="13">
        <v>0</v>
      </c>
      <c r="D38" s="178">
        <v>0</v>
      </c>
      <c r="E38" s="39"/>
      <c r="F38" s="40"/>
      <c r="H38"/>
      <c r="I38"/>
    </row>
    <row r="39" spans="1:9" x14ac:dyDescent="0.25">
      <c r="A39" s="20" t="s">
        <v>78</v>
      </c>
      <c r="B39" s="1" t="s">
        <v>46</v>
      </c>
      <c r="C39" s="11">
        <v>9</v>
      </c>
      <c r="D39" s="178">
        <v>1100</v>
      </c>
      <c r="E39" s="20">
        <f>D39*K2/1000</f>
        <v>2.4750000000000001</v>
      </c>
      <c r="F39" s="7" t="s">
        <v>19</v>
      </c>
      <c r="G39" t="s">
        <v>339</v>
      </c>
      <c r="H39" s="53">
        <v>0</v>
      </c>
      <c r="I39" s="53">
        <f>E39-H39</f>
        <v>2.4750000000000001</v>
      </c>
    </row>
    <row r="40" spans="1:9" hidden="1" x14ac:dyDescent="0.25">
      <c r="A40" s="20" t="s">
        <v>79</v>
      </c>
      <c r="B40" s="1" t="s">
        <v>80</v>
      </c>
      <c r="C40" s="11">
        <v>90</v>
      </c>
      <c r="D40" s="178">
        <v>0</v>
      </c>
      <c r="E40" s="20"/>
      <c r="F40" s="7"/>
      <c r="H40"/>
      <c r="I40"/>
    </row>
    <row r="41" spans="1:9" x14ac:dyDescent="0.25">
      <c r="A41" s="20" t="s">
        <v>81</v>
      </c>
      <c r="B41" s="1" t="s">
        <v>82</v>
      </c>
      <c r="C41" s="11">
        <v>70</v>
      </c>
      <c r="D41" s="178">
        <v>6</v>
      </c>
      <c r="E41" s="20">
        <f>D41/2</f>
        <v>3</v>
      </c>
      <c r="F41" s="7" t="s">
        <v>21</v>
      </c>
      <c r="H41" s="55">
        <v>6</v>
      </c>
      <c r="I41" s="53">
        <f>E41-H41</f>
        <v>-3</v>
      </c>
    </row>
    <row r="42" spans="1:9" x14ac:dyDescent="0.25">
      <c r="A42" s="20" t="s">
        <v>83</v>
      </c>
      <c r="B42" s="1" t="s">
        <v>21</v>
      </c>
      <c r="C42" s="11">
        <v>380</v>
      </c>
      <c r="D42" s="178">
        <v>18</v>
      </c>
      <c r="E42" s="20">
        <f>D42</f>
        <v>18</v>
      </c>
      <c r="F42" s="7" t="s">
        <v>21</v>
      </c>
      <c r="H42" s="53">
        <v>24</v>
      </c>
      <c r="I42" s="53">
        <f t="shared" ref="I42:I43" si="5">E42-H42</f>
        <v>-6</v>
      </c>
    </row>
    <row r="43" spans="1:9" x14ac:dyDescent="0.25">
      <c r="A43" s="20" t="s">
        <v>84</v>
      </c>
      <c r="B43" s="1" t="s">
        <v>344</v>
      </c>
      <c r="C43" s="11">
        <v>0</v>
      </c>
      <c r="D43" s="178">
        <v>18</v>
      </c>
      <c r="E43" s="20">
        <f>D43</f>
        <v>18</v>
      </c>
      <c r="F43" s="7" t="s">
        <v>344</v>
      </c>
      <c r="H43" s="53">
        <v>18</v>
      </c>
      <c r="I43" s="53">
        <f t="shared" si="5"/>
        <v>0</v>
      </c>
    </row>
    <row r="44" spans="1:9" hidden="1" x14ac:dyDescent="0.25">
      <c r="A44" s="20"/>
      <c r="B44" s="1"/>
      <c r="C44" s="11"/>
      <c r="D44" s="178">
        <v>0</v>
      </c>
      <c r="E44" s="20"/>
      <c r="F44" s="7"/>
      <c r="H44"/>
      <c r="I44"/>
    </row>
    <row r="45" spans="1:9" hidden="1" x14ac:dyDescent="0.25">
      <c r="A45" s="20"/>
      <c r="B45" s="1"/>
      <c r="C45" s="11"/>
      <c r="D45" s="178">
        <v>0</v>
      </c>
      <c r="E45" s="20"/>
      <c r="F45" s="7"/>
      <c r="H45"/>
      <c r="I45"/>
    </row>
    <row r="46" spans="1:9" hidden="1" x14ac:dyDescent="0.25">
      <c r="A46" s="20"/>
      <c r="B46" s="1"/>
      <c r="C46" s="11"/>
      <c r="D46" s="178">
        <v>0</v>
      </c>
      <c r="E46" s="20"/>
      <c r="F46" s="7"/>
      <c r="H46"/>
      <c r="I46"/>
    </row>
    <row r="47" spans="1:9" hidden="1" x14ac:dyDescent="0.25">
      <c r="A47" s="20"/>
      <c r="B47" s="1"/>
      <c r="C47" s="11"/>
      <c r="D47" s="178">
        <v>0</v>
      </c>
      <c r="E47" s="20"/>
      <c r="F47" s="7"/>
      <c r="H47"/>
      <c r="I47"/>
    </row>
    <row r="48" spans="1:9" ht="15.75" hidden="1" thickBot="1" x14ac:dyDescent="0.3">
      <c r="A48" s="21"/>
      <c r="B48" s="8"/>
      <c r="C48" s="22"/>
      <c r="D48" s="38">
        <v>0</v>
      </c>
      <c r="E48" s="21"/>
      <c r="F48" s="9"/>
      <c r="H48"/>
      <c r="I48"/>
    </row>
    <row r="52" spans="1:9" ht="21" x14ac:dyDescent="0.35">
      <c r="A52" s="44" t="s">
        <v>340</v>
      </c>
      <c r="B52" s="43"/>
      <c r="C52" s="43"/>
      <c r="D52" s="43"/>
      <c r="E52" s="43"/>
      <c r="F52" s="43"/>
      <c r="G52" s="43"/>
      <c r="H52" s="49"/>
      <c r="I52" s="49"/>
    </row>
  </sheetData>
  <autoFilter ref="A1:D48" xr:uid="{00000000-0009-0000-0000-000008000000}">
    <filterColumn colId="3">
      <filters>
        <filter val="1.25"/>
        <filter val="10"/>
        <filter val="1100"/>
        <filter val="12"/>
        <filter val="16.5"/>
        <filter val="18"/>
        <filter val="220"/>
        <filter val="23"/>
        <filter val="24"/>
        <filter val="3"/>
        <filter val="32"/>
        <filter val="33"/>
        <filter val="36"/>
        <filter val="37"/>
        <filter val="5"/>
        <filter val="50"/>
        <filter val="6"/>
        <filter val="64"/>
        <filter val="9"/>
        <filter val="93"/>
      </filters>
    </filterColumn>
  </autoFilter>
  <mergeCells count="1">
    <mergeCell ref="E1:F1"/>
  </mergeCells>
  <conditionalFormatting sqref="C1:C48">
    <cfRule type="containsBlanks" dxfId="1" priority="34">
      <formula>LEN(TRIM(C1))=0</formula>
    </cfRule>
  </conditionalFormatting>
  <conditionalFormatting sqref="I2:I1048576">
    <cfRule type="cellIs" dxfId="0" priority="1" operator="greaterThan">
      <formula>0</formula>
    </cfRule>
  </conditionalFormatting>
  <pageMargins left="0.7" right="0.7" top="0.75" bottom="0.75" header="0.3" footer="0.3"/>
  <pageSetup orientation="landscape" horizontalDpi="4294967293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1E751-889F-493A-9283-D6846E86268D}">
  <dimension ref="A1:K9"/>
  <sheetViews>
    <sheetView workbookViewId="0">
      <selection activeCell="I12" sqref="I12"/>
    </sheetView>
  </sheetViews>
  <sheetFormatPr defaultRowHeight="15" x14ac:dyDescent="0.25"/>
  <cols>
    <col min="2" max="2" width="26.140625" bestFit="1" customWidth="1"/>
    <col min="3" max="3" width="11.42578125" bestFit="1" customWidth="1"/>
    <col min="7" max="7" width="10.7109375" bestFit="1" customWidth="1"/>
    <col min="8" max="8" width="32.42578125" bestFit="1" customWidth="1"/>
    <col min="10" max="10" width="19.140625" bestFit="1" customWidth="1"/>
    <col min="11" max="11" width="2" bestFit="1" customWidth="1"/>
  </cols>
  <sheetData>
    <row r="1" spans="1:11" x14ac:dyDescent="0.25">
      <c r="A1" t="s">
        <v>346</v>
      </c>
      <c r="B1" t="s">
        <v>347</v>
      </c>
      <c r="C1" t="s">
        <v>348</v>
      </c>
      <c r="D1" t="s">
        <v>349</v>
      </c>
      <c r="E1" t="s">
        <v>350</v>
      </c>
      <c r="F1" t="s">
        <v>351</v>
      </c>
      <c r="G1" t="s">
        <v>352</v>
      </c>
      <c r="H1" t="s">
        <v>257</v>
      </c>
      <c r="J1" t="s">
        <v>353</v>
      </c>
      <c r="K1">
        <v>5</v>
      </c>
    </row>
    <row r="2" spans="1:11" x14ac:dyDescent="0.25">
      <c r="A2">
        <v>1</v>
      </c>
      <c r="B2" t="s">
        <v>354</v>
      </c>
      <c r="C2" t="s">
        <v>355</v>
      </c>
      <c r="D2">
        <v>7</v>
      </c>
      <c r="E2">
        <f>D2*$K$1</f>
        <v>35</v>
      </c>
      <c r="F2">
        <f>D2*$K$2</f>
        <v>28</v>
      </c>
      <c r="G2" s="179">
        <v>0</v>
      </c>
      <c r="H2" t="s">
        <v>356</v>
      </c>
      <c r="J2" t="s">
        <v>357</v>
      </c>
      <c r="K2">
        <v>4</v>
      </c>
    </row>
    <row r="3" spans="1:11" x14ac:dyDescent="0.25">
      <c r="A3">
        <v>2</v>
      </c>
      <c r="B3" t="s">
        <v>358</v>
      </c>
      <c r="C3" t="s">
        <v>359</v>
      </c>
      <c r="D3">
        <v>9</v>
      </c>
      <c r="E3">
        <f t="shared" ref="E3:E8" si="0">D3*$K$1</f>
        <v>45</v>
      </c>
      <c r="F3">
        <f t="shared" ref="F3:F8" si="1">D3*$K$2</f>
        <v>36</v>
      </c>
      <c r="G3" s="179">
        <f>32*2</f>
        <v>64</v>
      </c>
      <c r="H3" t="s">
        <v>360</v>
      </c>
    </row>
    <row r="4" spans="1:11" x14ac:dyDescent="0.25">
      <c r="A4">
        <v>3</v>
      </c>
      <c r="B4" t="s">
        <v>361</v>
      </c>
      <c r="C4" t="s">
        <v>362</v>
      </c>
      <c r="D4">
        <v>5</v>
      </c>
      <c r="E4">
        <f t="shared" si="0"/>
        <v>25</v>
      </c>
      <c r="F4">
        <f t="shared" si="1"/>
        <v>20</v>
      </c>
      <c r="G4" s="179">
        <f>33</f>
        <v>33</v>
      </c>
      <c r="H4" t="s">
        <v>363</v>
      </c>
    </row>
    <row r="5" spans="1:11" x14ac:dyDescent="0.25">
      <c r="A5">
        <v>4</v>
      </c>
      <c r="B5" t="s">
        <v>364</v>
      </c>
      <c r="C5" t="s">
        <v>365</v>
      </c>
      <c r="D5">
        <v>5</v>
      </c>
      <c r="E5">
        <f t="shared" si="0"/>
        <v>25</v>
      </c>
      <c r="F5">
        <f t="shared" si="1"/>
        <v>20</v>
      </c>
      <c r="G5" s="179">
        <f>33</f>
        <v>33</v>
      </c>
      <c r="H5" t="s">
        <v>363</v>
      </c>
    </row>
    <row r="6" spans="1:11" x14ac:dyDescent="0.25">
      <c r="A6">
        <v>5</v>
      </c>
      <c r="B6" t="s">
        <v>366</v>
      </c>
      <c r="C6" t="s">
        <v>367</v>
      </c>
      <c r="D6">
        <v>4</v>
      </c>
      <c r="E6">
        <f t="shared" si="0"/>
        <v>20</v>
      </c>
      <c r="F6">
        <f t="shared" si="1"/>
        <v>16</v>
      </c>
      <c r="G6" s="179">
        <v>25</v>
      </c>
      <c r="H6" t="s">
        <v>363</v>
      </c>
    </row>
    <row r="7" spans="1:11" x14ac:dyDescent="0.25">
      <c r="A7">
        <v>6</v>
      </c>
      <c r="B7" t="s">
        <v>368</v>
      </c>
      <c r="C7" t="s">
        <v>369</v>
      </c>
      <c r="D7">
        <v>7</v>
      </c>
      <c r="E7">
        <f t="shared" si="0"/>
        <v>35</v>
      </c>
      <c r="F7">
        <f t="shared" si="1"/>
        <v>28</v>
      </c>
      <c r="G7" s="179">
        <f>33+26</f>
        <v>59</v>
      </c>
      <c r="H7" t="s">
        <v>370</v>
      </c>
    </row>
    <row r="8" spans="1:11" x14ac:dyDescent="0.25">
      <c r="A8">
        <v>7</v>
      </c>
      <c r="B8" t="s">
        <v>371</v>
      </c>
      <c r="C8" t="s">
        <v>372</v>
      </c>
      <c r="D8">
        <v>10</v>
      </c>
      <c r="E8">
        <f t="shared" si="0"/>
        <v>50</v>
      </c>
      <c r="F8">
        <f t="shared" si="1"/>
        <v>40</v>
      </c>
      <c r="G8" s="179">
        <f>2*33</f>
        <v>66</v>
      </c>
      <c r="H8" t="s">
        <v>360</v>
      </c>
    </row>
    <row r="9" spans="1:11" x14ac:dyDescent="0.25">
      <c r="G9" s="179">
        <f>SUM(G2:G8)</f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</vt:i4>
      </vt:variant>
    </vt:vector>
  </HeadingPairs>
  <TitlesOfParts>
    <vt:vector size="12" baseType="lpstr">
      <vt:lpstr>Ingredients</vt:lpstr>
      <vt:lpstr>Recipes</vt:lpstr>
      <vt:lpstr>Meals</vt:lpstr>
      <vt:lpstr>Meal_Itinerary</vt:lpstr>
      <vt:lpstr>Price Comparison</vt:lpstr>
      <vt:lpstr>JMT Shopping List Conversion</vt:lpstr>
      <vt:lpstr>JMT Shopping List 2015-06-15</vt:lpstr>
      <vt:lpstr>JMT Shopping List 2015-06-15.2</vt:lpstr>
      <vt:lpstr>Mailing Estimates</vt:lpstr>
      <vt:lpstr>'JMT Shopping List 2015-06-15'!Print_Area</vt:lpstr>
      <vt:lpstr>'JMT Shopping List 2015-06-15.2'!Print_Area</vt:lpstr>
      <vt:lpstr>'JMT Shopping List Conversion'!Print_Area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2021-01-02T01:08:51Z</dcterms:modified>
  <cp:category/>
  <cp:contentStatus/>
</cp:coreProperties>
</file>